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mturgov-my.sharepoint.com/personal/frederico_cardoso_cultura_gov_br/Documents/Área de Trabalho/CGLC/Editais/Dispensa eletrônica/Aviso de Contratacao Direta 900022025/"/>
    </mc:Choice>
  </mc:AlternateContent>
  <xr:revisionPtr revIDLastSave="0" documentId="13_ncr:1_{4AB5EF6A-8593-4622-81D2-D2506D7E34DD}" xr6:coauthVersionLast="47" xr6:coauthVersionMax="47" xr10:uidLastSave="{00000000-0000-0000-0000-000000000000}"/>
  <bookViews>
    <workbookView xWindow="-4545" yWindow="3750" windowWidth="14220" windowHeight="9285" tabRatio="692" xr2:uid="{00000000-000D-0000-FFFF-FFFF00000000}"/>
  </bookViews>
  <sheets>
    <sheet name="M²" sheetId="4" r:id="rId1"/>
    <sheet name="encarregado" sheetId="1" r:id="rId2"/>
    <sheet name="servente " sheetId="2" r:id="rId3"/>
    <sheet name="uniforme" sheetId="3" r:id="rId4"/>
    <sheet name="KIT PRIMEIROS SOCORROS" sheetId="5" r:id="rId5"/>
    <sheet name="Equipamentos" sheetId="6" r:id="rId6"/>
    <sheet name="material2" sheetId="7" r:id="rId7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6" i="7" l="1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F2" i="5"/>
  <c r="G2" i="5" s="1"/>
  <c r="D61" i="4"/>
  <c r="D60" i="4"/>
  <c r="D59" i="4"/>
  <c r="D58" i="4"/>
  <c r="D62" i="4" s="1"/>
  <c r="H53" i="4"/>
  <c r="E75" i="4" s="1"/>
  <c r="H51" i="4"/>
  <c r="E73" i="4" s="1"/>
  <c r="H50" i="4"/>
  <c r="E72" i="4" s="1"/>
  <c r="H49" i="4"/>
  <c r="E71" i="4" s="1"/>
  <c r="H48" i="4"/>
  <c r="E70" i="4" s="1"/>
  <c r="E43" i="4"/>
  <c r="F42" i="4"/>
  <c r="C42" i="4"/>
  <c r="F41" i="4"/>
  <c r="C41" i="4"/>
  <c r="E37" i="4"/>
  <c r="F36" i="4"/>
  <c r="H52" i="4" s="1"/>
  <c r="E74" i="4" s="1"/>
  <c r="C36" i="4"/>
  <c r="F35" i="4"/>
  <c r="C35" i="4"/>
  <c r="C30" i="4"/>
  <c r="C29" i="4"/>
  <c r="C24" i="4"/>
  <c r="C23" i="4"/>
  <c r="C18" i="4"/>
  <c r="C17" i="4"/>
  <c r="C12" i="4"/>
  <c r="C11" i="4"/>
  <c r="D21" i="3"/>
  <c r="B21" i="3"/>
  <c r="F20" i="3"/>
  <c r="E20" i="3"/>
  <c r="E19" i="3"/>
  <c r="F19" i="3" s="1"/>
  <c r="E18" i="3"/>
  <c r="F18" i="3" s="1"/>
  <c r="E17" i="3"/>
  <c r="F17" i="3" s="1"/>
  <c r="F16" i="3"/>
  <c r="E16" i="3"/>
  <c r="E15" i="3"/>
  <c r="E21" i="3" s="1"/>
  <c r="D11" i="3"/>
  <c r="B11" i="3"/>
  <c r="E10" i="3"/>
  <c r="F10" i="3" s="1"/>
  <c r="E9" i="3"/>
  <c r="F9" i="3" s="1"/>
  <c r="F8" i="3"/>
  <c r="E8" i="3"/>
  <c r="E7" i="3"/>
  <c r="F7" i="3" s="1"/>
  <c r="E6" i="3"/>
  <c r="F6" i="3" s="1"/>
  <c r="E5" i="3"/>
  <c r="I124" i="2"/>
  <c r="J101" i="2"/>
  <c r="I102" i="2" s="1"/>
  <c r="I108" i="2" s="1"/>
  <c r="I97" i="2"/>
  <c r="H64" i="2"/>
  <c r="I63" i="2"/>
  <c r="H62" i="2"/>
  <c r="I61" i="2" s="1"/>
  <c r="I57" i="2"/>
  <c r="I43" i="2"/>
  <c r="I38" i="2"/>
  <c r="I124" i="1"/>
  <c r="J101" i="1"/>
  <c r="I102" i="1" s="1"/>
  <c r="I108" i="1" s="1"/>
  <c r="I97" i="1"/>
  <c r="H64" i="1"/>
  <c r="I63" i="1"/>
  <c r="H62" i="1"/>
  <c r="I61" i="1" s="1"/>
  <c r="I68" i="1" s="1"/>
  <c r="I75" i="1" s="1"/>
  <c r="I57" i="1"/>
  <c r="I43" i="1"/>
  <c r="I38" i="1"/>
  <c r="I37" i="1"/>
  <c r="I68" i="2" l="1"/>
  <c r="I75" i="2" s="1"/>
  <c r="I116" i="1"/>
  <c r="I116" i="2"/>
  <c r="E11" i="3"/>
  <c r="J43" i="2"/>
  <c r="J43" i="1"/>
  <c r="E27" i="6"/>
  <c r="E28" i="6" s="1"/>
  <c r="E29" i="6" s="1"/>
  <c r="I114" i="2" s="1"/>
  <c r="F57" i="7"/>
  <c r="F58" i="7" s="1"/>
  <c r="F59" i="7" s="1"/>
  <c r="F21" i="3"/>
  <c r="I113" i="1" s="1"/>
  <c r="E24" i="3"/>
  <c r="F24" i="3" s="1"/>
  <c r="I115" i="2"/>
  <c r="I115" i="1"/>
  <c r="I114" i="1"/>
  <c r="J84" i="1"/>
  <c r="J81" i="1"/>
  <c r="J85" i="1"/>
  <c r="I133" i="1"/>
  <c r="J80" i="2"/>
  <c r="J84" i="2"/>
  <c r="J82" i="1"/>
  <c r="J81" i="2"/>
  <c r="J85" i="2"/>
  <c r="I133" i="2"/>
  <c r="J80" i="1"/>
  <c r="J44" i="1"/>
  <c r="I45" i="1" s="1"/>
  <c r="J83" i="1"/>
  <c r="J82" i="2"/>
  <c r="F5" i="3"/>
  <c r="F11" i="3" s="1"/>
  <c r="I113" i="2" s="1"/>
  <c r="F15" i="3"/>
  <c r="H54" i="4"/>
  <c r="H56" i="4" s="1"/>
  <c r="J44" i="2"/>
  <c r="J83" i="2"/>
  <c r="I118" i="1" l="1"/>
  <c r="I137" i="1" s="1"/>
  <c r="I45" i="2"/>
  <c r="J57" i="2" s="1"/>
  <c r="I74" i="2" s="1"/>
  <c r="I73" i="2"/>
  <c r="I73" i="1"/>
  <c r="J49" i="1"/>
  <c r="J50" i="1"/>
  <c r="J55" i="1"/>
  <c r="J57" i="1"/>
  <c r="I74" i="1" s="1"/>
  <c r="J52" i="1"/>
  <c r="J53" i="1"/>
  <c r="J54" i="1"/>
  <c r="J56" i="1"/>
  <c r="J51" i="1"/>
  <c r="I86" i="1"/>
  <c r="I135" i="1" s="1"/>
  <c r="I86" i="2"/>
  <c r="I135" i="2" s="1"/>
  <c r="I118" i="2"/>
  <c r="I137" i="2" s="1"/>
  <c r="J50" i="2" l="1"/>
  <c r="J55" i="2"/>
  <c r="J51" i="2"/>
  <c r="J53" i="2"/>
  <c r="J49" i="2"/>
  <c r="J52" i="2"/>
  <c r="J54" i="2"/>
  <c r="J56" i="2"/>
  <c r="I76" i="2"/>
  <c r="I134" i="2" s="1"/>
  <c r="I76" i="1"/>
  <c r="J89" i="2"/>
  <c r="J94" i="2" l="1"/>
  <c r="J93" i="2"/>
  <c r="J96" i="2"/>
  <c r="J92" i="2"/>
  <c r="J95" i="2"/>
  <c r="J91" i="2"/>
  <c r="I134" i="1"/>
  <c r="J89" i="1"/>
  <c r="J97" i="2" l="1"/>
  <c r="I107" i="2" s="1"/>
  <c r="I109" i="2" s="1"/>
  <c r="I136" i="2" s="1"/>
  <c r="I138" i="2" s="1"/>
  <c r="J94" i="1"/>
  <c r="J95" i="1"/>
  <c r="J93" i="1"/>
  <c r="J96" i="1"/>
  <c r="J92" i="1"/>
  <c r="J91" i="1"/>
  <c r="J97" i="1" l="1"/>
  <c r="I107" i="1" s="1"/>
  <c r="I109" i="1" s="1"/>
  <c r="I136" i="1" s="1"/>
  <c r="I138" i="1" s="1"/>
  <c r="J122" i="2"/>
  <c r="J123" i="2" l="1"/>
  <c r="J122" i="1"/>
  <c r="I140" i="2" l="1"/>
  <c r="J123" i="1"/>
  <c r="I140" i="1" s="1"/>
  <c r="D11" i="4" l="1"/>
  <c r="J127" i="1"/>
  <c r="J126" i="1"/>
  <c r="J125" i="1"/>
  <c r="J127" i="2"/>
  <c r="J126" i="2"/>
  <c r="D12" i="4"/>
  <c r="J125" i="2"/>
  <c r="J128" i="2" s="1"/>
  <c r="I139" i="2" s="1"/>
  <c r="J128" i="1" l="1"/>
  <c r="I139" i="1" s="1"/>
  <c r="D18" i="4"/>
  <c r="E12" i="4"/>
  <c r="E11" i="4"/>
  <c r="D17" i="4"/>
  <c r="E13" i="4" l="1"/>
  <c r="E48" i="4" s="1"/>
  <c r="G48" i="4" s="1"/>
  <c r="D23" i="4"/>
  <c r="E17" i="4"/>
  <c r="D24" i="4"/>
  <c r="E18" i="4"/>
  <c r="E19" i="4" l="1"/>
  <c r="E49" i="4" s="1"/>
  <c r="G49" i="4" s="1"/>
  <c r="D29" i="4"/>
  <c r="E23" i="4"/>
  <c r="E24" i="4"/>
  <c r="D30" i="4"/>
  <c r="E25" i="4" l="1"/>
  <c r="E50" i="4" s="1"/>
  <c r="G50" i="4" s="1"/>
  <c r="E58" i="4" s="1"/>
  <c r="F58" i="4" s="1"/>
  <c r="G36" i="4"/>
  <c r="E30" i="4"/>
  <c r="E29" i="4"/>
  <c r="G35" i="4"/>
  <c r="E31" i="4" l="1"/>
  <c r="E51" i="4" s="1"/>
  <c r="G51" i="4" s="1"/>
  <c r="E59" i="4" s="1"/>
  <c r="F59" i="4" s="1"/>
  <c r="H36" i="4"/>
  <c r="G42" i="4"/>
  <c r="H42" i="4" s="1"/>
  <c r="H35" i="4"/>
  <c r="H37" i="4" s="1"/>
  <c r="E52" i="4" s="1"/>
  <c r="G52" i="4" s="1"/>
  <c r="E60" i="4" s="1"/>
  <c r="F60" i="4" s="1"/>
  <c r="G41" i="4"/>
  <c r="G37" i="4"/>
  <c r="H41" i="4" l="1"/>
  <c r="H43" i="4" s="1"/>
  <c r="E53" i="4" s="1"/>
  <c r="G53" i="4" s="1"/>
  <c r="E61" i="4" s="1"/>
  <c r="F61" i="4" s="1"/>
  <c r="F62" i="4" s="1"/>
  <c r="G43" i="4"/>
  <c r="G54" i="4" l="1"/>
  <c r="E62" i="4"/>
  <c r="F2" i="4" s="1"/>
  <c r="G2" i="4" s="1"/>
</calcChain>
</file>

<file path=xl/sharedStrings.xml><?xml version="1.0" encoding="utf-8"?>
<sst xmlns="http://schemas.openxmlformats.org/spreadsheetml/2006/main" count="780" uniqueCount="342">
  <si>
    <t>VALO REFERENCIAL CPGC</t>
  </si>
  <si>
    <t>xxxxx</t>
  </si>
  <si>
    <t>Horário:</t>
  </si>
  <si>
    <t>DISCRIMINAÇÃO DOS SERVIÇOS (DADOS REFERENTES À CONTRATAÇÃO)</t>
  </si>
  <si>
    <t>A</t>
  </si>
  <si>
    <t>Data de apresentação da proposta (dia/mês/ano)</t>
  </si>
  <si>
    <t>B</t>
  </si>
  <si>
    <t>Município/ UF</t>
  </si>
  <si>
    <t xml:space="preserve">RIO DE JANEIRO </t>
  </si>
  <si>
    <t>C</t>
  </si>
  <si>
    <t>Ano Acordo, Convenção ou Sentença Normativa em Dissídio Coletivo</t>
  </si>
  <si>
    <t xml:space="preserve">SEAC/RJ </t>
  </si>
  <si>
    <t>D</t>
  </si>
  <si>
    <t>Número do registro da convenção no MTE</t>
  </si>
  <si>
    <t>RJ001023/2024</t>
  </si>
  <si>
    <t>E</t>
  </si>
  <si>
    <t>Nº de meses de execução contratual</t>
  </si>
  <si>
    <t>IDENTIFICAÇÃO DO SERVIÇO</t>
  </si>
  <si>
    <t>Unidade de medida</t>
  </si>
  <si>
    <t>Posto</t>
  </si>
  <si>
    <t>Quantidade total a contratar (em função da unidade de medida):</t>
  </si>
  <si>
    <t>Cargo:</t>
  </si>
  <si>
    <t>servente</t>
  </si>
  <si>
    <t>MÃO-DE-OBRA</t>
  </si>
  <si>
    <t>MÃO-DE-OBRA VINCULADA À EXECUÇÃO CONTRATUAL</t>
  </si>
  <si>
    <t>Dados complementares para composição dos custos referente à mão-de-obra</t>
  </si>
  <si>
    <t>Tipo do serviço</t>
  </si>
  <si>
    <t>Limpeza e conservação</t>
  </si>
  <si>
    <t>Classificação Brasileira de Ocupações (CBO)</t>
  </si>
  <si>
    <t>4101-05</t>
  </si>
  <si>
    <t>Salário Normativo da Categoria Profissional</t>
  </si>
  <si>
    <t xml:space="preserve">Categoria profissional </t>
  </si>
  <si>
    <t>ENCARREGADO</t>
  </si>
  <si>
    <t>Data base da categoria</t>
  </si>
  <si>
    <t>MÓDULO 01: COMPOSIÇÃO DA REMUNERAÇÃO</t>
  </si>
  <si>
    <t>Composição da remuneração</t>
  </si>
  <si>
    <t>Valor (R$)</t>
  </si>
  <si>
    <t>Salário base</t>
  </si>
  <si>
    <t>Adicional de periculosidade</t>
  </si>
  <si>
    <t>Não</t>
  </si>
  <si>
    <t>Adicional insalubridade</t>
  </si>
  <si>
    <t>Adicional noturno</t>
  </si>
  <si>
    <t xml:space="preserve">Hora noturna adicional - ou hora noturna reduzida </t>
  </si>
  <si>
    <t>F</t>
  </si>
  <si>
    <t>Adicional de hora extra no feriado</t>
  </si>
  <si>
    <t>G</t>
  </si>
  <si>
    <t>Outros (gratificaçãoo de função) 30% sobre o piso de auxiliar de limpeza</t>
  </si>
  <si>
    <t>TOTAL DA REMUNERAÇÃO</t>
  </si>
  <si>
    <t>MÓDULO 02: ENCARGOS E BENEFÍCIOS ANUAIS, MENSAIS E DIÁRIOS</t>
  </si>
  <si>
    <t>Submódulo 2.1 - 13º (décimo terceiro) salário e adicional de férias</t>
  </si>
  <si>
    <t>2.1</t>
  </si>
  <si>
    <t>13º salário e adicional de férias</t>
  </si>
  <si>
    <t>(%)</t>
  </si>
  <si>
    <t xml:space="preserve">13º salário </t>
  </si>
  <si>
    <t xml:space="preserve">Férias e Adicional de Férias </t>
  </si>
  <si>
    <t xml:space="preserve">TOTAL 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</si>
  <si>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</si>
  <si>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</si>
  <si>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</si>
  <si>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</si>
  <si>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</si>
  <si>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Seguro Acidente do Trabalho (RATxFAP)</t>
  </si>
  <si>
    <t>SESC ou SESI</t>
  </si>
  <si>
    <t>SENAI ou SENAC</t>
  </si>
  <si>
    <t>SEBRAE</t>
  </si>
  <si>
    <t>INCRA</t>
  </si>
  <si>
    <t>H</t>
  </si>
  <si>
    <t>FGTS</t>
  </si>
  <si>
    <t>TOTAL</t>
  </si>
  <si>
    <t>Submódulo 2.3 - Benefícios Mensais e Diários</t>
  </si>
  <si>
    <t>2.3</t>
  </si>
  <si>
    <t>Benefícios Mensais e Diários</t>
  </si>
  <si>
    <t xml:space="preserve">A </t>
  </si>
  <si>
    <t xml:space="preserve">Transporte </t>
  </si>
  <si>
    <t>SIM/NÃO</t>
  </si>
  <si>
    <t>VALOR</t>
  </si>
  <si>
    <t>Passagens</t>
  </si>
  <si>
    <t>Dias</t>
  </si>
  <si>
    <t>Desconto</t>
  </si>
  <si>
    <t>SIM</t>
  </si>
  <si>
    <t>Auxílio-Refeição/Alimentação</t>
  </si>
  <si>
    <t>Valor</t>
  </si>
  <si>
    <t>Benefício Social Familiar – Cláusula 29º CCT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</si>
  <si>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</si>
  <si>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</si>
  <si>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</si>
  <si>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 xml:space="preserve">MÓDULO 03: PROVISÃO PARA RESCISÃO 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</si>
  <si>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</si>
  <si>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</si>
  <si>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</si>
  <si>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</si>
  <si>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</si>
  <si>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</si>
  <si>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</si>
  <si>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</si>
  <si>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</si>
  <si>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</si>
  <si>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</si>
  <si>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</si>
  <si>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Substituto na Cobertura das Ausências Legais</t>
  </si>
  <si>
    <t>Substituto na Cobertura de Licença-Paternidade</t>
  </si>
  <si>
    <t>Substituto na Cobertura das Ausências por Acidente de Trabalho</t>
  </si>
  <si>
    <t>Substituto na Cobertura de Afastamento Maternidade</t>
  </si>
  <si>
    <t>Substituto na Cobertura de Outras Ausências (Especificar)</t>
  </si>
  <si>
    <t>Submódulo 4.2 - Intrajornada</t>
  </si>
  <si>
    <t>4.2</t>
  </si>
  <si>
    <t>Substituto na Intrajornada</t>
  </si>
  <si>
    <t>Substituto no Intervalo para Repouso ou Alimentação</t>
  </si>
  <si>
    <t>QUADRO RESUMO DO MÓDULO 4 - CUSTO DE REPOSIÇÃO DO PROFISSIONAL AUSENTE</t>
  </si>
  <si>
    <t>Substituto nas Ausência Legais</t>
  </si>
  <si>
    <t>MÓDULO 05: INSUMOS DIVERSOS</t>
  </si>
  <si>
    <t>Insumos Diversos</t>
  </si>
  <si>
    <t>Uniformes (custo mensal por empregado)</t>
  </si>
  <si>
    <t xml:space="preserve">Equipamentos </t>
  </si>
  <si>
    <t>Material</t>
  </si>
  <si>
    <t>kit primeiros socorros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</si>
  <si>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</si>
  <si>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</si>
  <si>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</si>
  <si>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</si>
  <si>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</si>
  <si>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</si>
  <si>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</si>
  <si>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PIS</t>
  </si>
  <si>
    <t>C.2</t>
  </si>
  <si>
    <t>COFINS</t>
  </si>
  <si>
    <t>C.3</t>
  </si>
  <si>
    <t>Tibutos Municipais</t>
  </si>
  <si>
    <t>ISS</t>
  </si>
  <si>
    <t xml:space="preserve">*Para fins de estimativa da CONTRATANTE, em Lucro e Despesas Indiretas - LDI, foram consideradas as despesas administrativas e operacionais (5%) e a margem de lucro (10%) conforme Nota Tecnica n° 01/2007 - SCI/STF </t>
  </si>
  <si>
    <t>QUADRO RESUMO DO CUSTO POR EMPREGADO</t>
  </si>
  <si>
    <t>Mão-de-obra vinculada 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</si>
  <si>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</si>
  <si>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</si>
  <si>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</si>
  <si>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</si>
  <si>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</si>
  <si>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SUBTOTAL (A+B+C+D+E)</t>
  </si>
  <si>
    <t>Módulo 6 – Custos indiretos, tributos e lucro</t>
  </si>
  <si>
    <t>VALOR TOTAL POR EMPREGADO</t>
  </si>
  <si>
    <t xml:space="preserve">servente </t>
  </si>
  <si>
    <t>5143-20</t>
  </si>
  <si>
    <t>Outros (gratificaçãoo de função)</t>
  </si>
  <si>
    <t>UNIFORMES SERVENTES</t>
  </si>
  <si>
    <t>UNIFORMES FORNECIDOS POR ANO</t>
  </si>
  <si>
    <t>QUANTIDADE</t>
  </si>
  <si>
    <t>UNID. MEDIDA</t>
  </si>
  <si>
    <t>PREÇO UNITÁRIO</t>
  </si>
  <si>
    <t>PREÇO TOTAL</t>
  </si>
  <si>
    <t>PREÇO/MÊS</t>
  </si>
  <si>
    <t>Jaleco brim com emblema da empresa</t>
  </si>
  <si>
    <t>PEÇA</t>
  </si>
  <si>
    <t>Calça confeccionada em tecido brim com elástico/cadarço na cintura</t>
  </si>
  <si>
    <t>Pares de meia</t>
  </si>
  <si>
    <t>PAR</t>
  </si>
  <si>
    <t>Pares de sapato preto (apropriados ao serviço)</t>
  </si>
  <si>
    <t>Capa de chuva</t>
  </si>
  <si>
    <t>UNID</t>
  </si>
  <si>
    <t>Crachá de identificação</t>
  </si>
  <si>
    <t>UNIFORME ENCARREGADO</t>
  </si>
  <si>
    <t>Calça Social Preta (Masc./Fem)</t>
  </si>
  <si>
    <t>Camisa Social Manga Comprida Branca (MasC./Fem.)</t>
  </si>
  <si>
    <t>Pares de meia (meia social preta/meia sapatilha)</t>
  </si>
  <si>
    <t>Sapato Social Preto (Masc/Fem.: salto max 3 cm)</t>
  </si>
  <si>
    <t xml:space="preserve">OBJETIVO </t>
  </si>
  <si>
    <t>Valor Estimado  MENSAL</t>
  </si>
  <si>
    <t>Valor Estimado  ANUAL</t>
  </si>
  <si>
    <t>Contratação de Empresa Especializa para Prestação de Serviço de Limpeza, Conservação e Higienização com Fornecimento de Material</t>
  </si>
  <si>
    <t>PREÇO MENSAL UNITÁRIO POR M²:</t>
  </si>
  <si>
    <t xml:space="preserve">Área Interna – PISO FRIO </t>
  </si>
  <si>
    <t xml:space="preserve">Mão de Obra </t>
  </si>
  <si>
    <r>
      <rPr>
        <sz val="10"/>
        <color rgb="FF000000"/>
        <rFont val="Arial Narrow"/>
        <family val="2"/>
        <charset val="1"/>
      </rPr>
      <t>(1) Produtividade (1/m</t>
    </r>
    <r>
      <rPr>
        <vertAlign val="superscript"/>
        <sz val="10"/>
        <color rgb="FF000000"/>
        <rFont val="Arial Narrow"/>
        <family val="2"/>
        <charset val="1"/>
      </rPr>
      <t>2</t>
    </r>
    <r>
      <rPr>
        <sz val="10"/>
        <color rgb="FF000000"/>
        <rFont val="Arial Narrow"/>
        <family val="2"/>
        <charset val="1"/>
      </rPr>
      <t>)</t>
    </r>
  </si>
  <si>
    <t>(2) Preço Homen-Mês (R$)</t>
  </si>
  <si>
    <r>
      <rPr>
        <sz val="10"/>
        <color rgb="FF000000"/>
        <rFont val="Arial Narrow"/>
        <family val="2"/>
        <charset val="1"/>
      </rPr>
      <t>( 1x2 ) Sub-Total (R$/m</t>
    </r>
    <r>
      <rPr>
        <vertAlign val="superscript"/>
        <sz val="10"/>
        <color rgb="FF000000"/>
        <rFont val="Arial Narrow"/>
        <family val="2"/>
        <charset val="1"/>
      </rPr>
      <t>2</t>
    </r>
    <r>
      <rPr>
        <sz val="10"/>
        <color rgb="FF000000"/>
        <rFont val="Arial Narrow"/>
        <family val="2"/>
        <charset val="1"/>
      </rPr>
      <t>)</t>
    </r>
  </si>
  <si>
    <t>PROPOSTA</t>
  </si>
  <si>
    <t>Encarregado</t>
  </si>
  <si>
    <t>Servente</t>
  </si>
  <si>
    <t xml:space="preserve">Área Interna – SANITÁRIOS </t>
  </si>
  <si>
    <t xml:space="preserve">Área Interna –ÁREAS COM ESPAÇOS LIVRE – SAGUÃO, HALL E SALÃO </t>
  </si>
  <si>
    <t xml:space="preserve">Área Externa  –PISOS, PAVIMENTOS, ADJACENTES / CONTÍGUOS ÀS EDIFICAÇÕES </t>
  </si>
  <si>
    <t>ESQUADRIA EXTERNA: FACE INTERNA</t>
  </si>
  <si>
    <t xml:space="preserve">(2) Frequência Mês (horas) </t>
  </si>
  <si>
    <t>(3)Jornada Trabalho Mês(horas)</t>
  </si>
  <si>
    <t>(4) (1x2x3) Ki</t>
  </si>
  <si>
    <t>(5) Preço Homen-Mês (R$)</t>
  </si>
  <si>
    <r>
      <rPr>
        <sz val="10"/>
        <color rgb="FF000000"/>
        <rFont val="Arial Narrow"/>
        <family val="2"/>
        <charset val="1"/>
      </rPr>
      <t>( 4x5 ) Sub-Total (R$/m</t>
    </r>
    <r>
      <rPr>
        <vertAlign val="superscript"/>
        <sz val="10"/>
        <color rgb="FF000000"/>
        <rFont val="Arial Narrow"/>
        <family val="2"/>
        <charset val="1"/>
      </rPr>
      <t>2</t>
    </r>
    <r>
      <rPr>
        <sz val="10"/>
        <color rgb="FF000000"/>
        <rFont val="Arial Narrow"/>
        <family val="2"/>
        <charset val="1"/>
      </rPr>
      <t>)</t>
    </r>
  </si>
  <si>
    <t>1/188,76</t>
  </si>
  <si>
    <t>FACHADA ENVIDRAÇADA</t>
  </si>
  <si>
    <t>1/1.132,60</t>
  </si>
  <si>
    <t>II - VALOR MENSAL DOS SERVIÇOS:</t>
  </si>
  <si>
    <t>EFETIVO</t>
  </si>
  <si>
    <t>Tipo de Área</t>
  </si>
  <si>
    <t>Preço Mensal Unitário (R$/m2)</t>
  </si>
  <si>
    <t>Área  (m2)</t>
  </si>
  <si>
    <t xml:space="preserve"> Sub-Total  (R$)</t>
  </si>
  <si>
    <t>I - Área Interna: Piso Frio</t>
  </si>
  <si>
    <t>II - Área Interna: Sanitários</t>
  </si>
  <si>
    <t>III - Área Interna: áreas com espaços livres - saguão, hall e salão</t>
  </si>
  <si>
    <t>IV - Área Externa: pisos, pavimentos, adjacentes / contíguos às edificações</t>
  </si>
  <si>
    <t>III - Esquadria Externa: face interna</t>
  </si>
  <si>
    <t>IV – Fachada envidraçada</t>
  </si>
  <si>
    <t xml:space="preserve">VALOR MENSAL </t>
  </si>
  <si>
    <t>Asg</t>
  </si>
  <si>
    <t xml:space="preserve">PREÇO DO SERVIÇO </t>
  </si>
  <si>
    <t>total</t>
  </si>
  <si>
    <t xml:space="preserve">Item </t>
  </si>
  <si>
    <t xml:space="preserve">Descrição </t>
  </si>
  <si>
    <r>
      <rPr>
        <b/>
        <sz val="11"/>
        <color rgb="FF000000"/>
        <rFont val="Garamond"/>
        <family val="1"/>
        <charset val="1"/>
      </rPr>
      <t xml:space="preserve">Metragem </t>
    </r>
    <r>
      <rPr>
        <sz val="11"/>
        <color rgb="FF000000"/>
        <rFont val="Garamond"/>
        <family val="1"/>
        <charset val="1"/>
      </rPr>
      <t>m</t>
    </r>
    <r>
      <rPr>
        <vertAlign val="superscript"/>
        <sz val="11"/>
        <color rgb="FF000000"/>
        <rFont val="Garamond"/>
        <family val="1"/>
        <charset val="1"/>
      </rPr>
      <t>2</t>
    </r>
  </si>
  <si>
    <t xml:space="preserve">Valor Mensal </t>
  </si>
  <si>
    <t xml:space="preserve">Valor 12 meses </t>
  </si>
  <si>
    <t>Área Interna</t>
  </si>
  <si>
    <t>Área Externa</t>
  </si>
  <si>
    <t xml:space="preserve">Esquadrias </t>
  </si>
  <si>
    <t>Fachada envidraçada</t>
  </si>
  <si>
    <t xml:space="preserve">TOTAIS </t>
  </si>
  <si>
    <t>Tipo de Área – CÁCULO DO EFETIVO</t>
  </si>
  <si>
    <t>EFETIVO - ASG = 33</t>
  </si>
  <si>
    <t>EFETIVO - ENC = 1</t>
  </si>
  <si>
    <t>EFETIVO TOTAL = 01 ENCARREGADO + 33 ASG, TOTALIZANDO 34 FUNCIONÁRIOS</t>
  </si>
  <si>
    <t>III - Esquadria Externa: face interna sem exposição de risco</t>
  </si>
  <si>
    <t>ESPECIFICAÇÃO</t>
  </si>
  <si>
    <t>ITEM</t>
  </si>
  <si>
    <t>VALOR POR EMPREGADO (33 POSTOS)</t>
  </si>
  <si>
    <t>KIT DE PRIMEIROS SOCORROS</t>
  </si>
  <si>
    <t>KIT</t>
  </si>
  <si>
    <t>DESCRIÇÃO DE EQUPAMENTOS E PRODUTOS</t>
  </si>
  <si>
    <t>LIMPEZA</t>
  </si>
  <si>
    <t>MATERIAL</t>
  </si>
  <si>
    <t>UND</t>
  </si>
  <si>
    <t>QTDE</t>
  </si>
  <si>
    <t>R$ UNIT</t>
  </si>
  <si>
    <t>R$ TOTAL</t>
  </si>
  <si>
    <t>ASPIRADOR DE PÓ E LÍQUIDO GRANDE PROFISSIONAL
Descrição do Material:
Aspirador de 2.000 watts, com saco (filtro) para reposição, capacidade para 70 litros;
Alça de transporte, rodas para movimentação e proteção contra impactos; Mangueira flexível, com mangueira de descarga e tubos prolongadas; Reservatório em aço inox
Rodo para carpetes, escova para estofado e rodo para piso.
Cabo elétrico com: 4 metros</t>
  </si>
  <si>
    <t>und</t>
  </si>
  <si>
    <t>CARRINHO COLETOR
Descrição do Material:
Material em PEAD (Polietileno de Alta Densidade);
Carrinho com pedal 240l e rodas 300mm;
Largura de 74,5cm, altura de 100cm e comprimento 59,5cm.</t>
  </si>
  <si>
    <t>CONJUNTO MOP LÍQUIDO PROFISSIONAL
Descrição do Material:
Estrutura em polipropileno injetado; Clip de fixação para haste; Balde doblo removível com capacidade de 30 litros;
Sistema de espremedor com pressão superior; Alça em aço tubular com pintura eletrostática;
Itens destinados às tarefas de limpeza úmida de pisos frios em geral; Rodízios projetados para facilitar a manutenção e higienização. Cabo com ponteira em polipropileno que proporciona firme encaixe e excelente durabilidade. Fabricado em alumínio. Produzidos em algodão cru e fibras sintéticas em loop. Placa Sinalizadora</t>
  </si>
  <si>
    <t>CONTAINER DE LIXO
Descrição do Material:
Material em PEAD (Polietileno de Alta Densidade);
Container de 1100L com rodas de 200MM;
Largura 1360mm, altura 1330mm e comprimento 1095mm.</t>
  </si>
  <si>
    <t>DILUIDOR PARA PRODUTO LIQUIDO (COMBO COM 2 DILUIDORES)
Descrição do Material:
Dilui com precisão produtos concentrados;
Sistema de diluição do tipo venturi dilui o produto, deixando-o pronto para uso, sendo necessário apenas o acionamento da válvula de diluição.</t>
  </si>
  <si>
    <t>DISPENSER DE ÁLCOOL EM GEL
Descrição do Material:
Dispenser de parede de metal;
Sistema de abertura e fechamento por chave;
Cor que permite a visualização do álcool no reservatório auxiliando na sua reposição.</t>
  </si>
  <si>
    <t>DISPENSER DE PAPEL HIGIÊNICO ROLÃO                              Descrição do Material: Dispenser de parede de metal; Papel higiênico com rolo 300m; Sistema de abertura e fechamento por chave; Cor que permite a visualização do papel higiênico auxiliando na reposição do papel.</t>
  </si>
  <si>
    <t>DISPENSER DE PAPEL TOALHA INTERFOLHA
Descrição do Material:
Dispenser de parede de metal.
Sistema de abertura e fechamento por chave
Cor que permite a visualização do papel toalha auxiliando na reposição do papel; Tipo de papel toalha utilizado: 2 ou 3 dobras; Medidas: alt: 320 mm x Larg: 250 mm x Prof: 130 mm - Peso: 501 g.</t>
  </si>
  <si>
    <t>DISPENSER SABONETEIRA COM RESERVATÓRIO
Descrição do Material:
Dispenser de parede de metal ;
Sistema de abertura e fechamento por chave;
Cor que permite a visualização do sabonete no reservatório auxiliando na sua reposição; Tipo de sabonete utilizado: Sabonete líquido ou cremoso; Medidas: alt: 280 mm x Larg: 125 mm x Prof: 120 mm - Peso: 409 g.</t>
  </si>
  <si>
    <t>ENCERADEIRA INDUSTRIAL MULTIFUNÇÕES PROFISSIONAL
Descrição do Material:
Grande manobrabilidade, leveza e silenciosa.
Isolada de choque elétricos.
Rotação da Escova (rpm) : 195
Diâmetro da Escova (mm) : 350
Limpa, pole e lava os mais variados tipos de pisos, inclusive carpetes e propociona brilho em cera.
Remove cera e seladores. Utiliza discos abrasivos, escovas e bonnet, com extensão elétrica de 25mts.
Prensa cabo - Evita ruptura do cabo com as sucessivas manobras.</t>
  </si>
  <si>
    <t>ESCADA DE ALUMÍNIO PROFFISIONAL
Descrição do Material:
Escada de 16 (dezesseis) degraus - Média</t>
  </si>
  <si>
    <t>ESCADA DE ALUMÍNIO PROFISSIONAL
Descrição do Material:
Escada de 20 (vinte) degraus - Grande</t>
  </si>
  <si>
    <t>EXTENSÃO ELÉTRICA PROFISSIONAL
Descrição do Material:
Extensão de 40 metros 2 x 1,50 mm com carretel;
Base para no mínimo 4 tomadas.
Cabo PP circular com dupla isolação gerando maior resistência a atritos mecânicos.</t>
  </si>
  <si>
    <t>FORNO DE MICRO-ONDAS
Descrição:
Para que seus funcionários possam esquentar seus alimentos;
Display digital; Tecla parar/ cancelar; Teclas de seleção para ajustar tempo.
Travar painel: para que o micro-ondas não seja ligado sem que haja algum alimento dentro.
Tamanho 30 litros</t>
  </si>
  <si>
    <t>GELADEIRA
Descrição:
Para que seus funcionários possam guardar seus alimentos;
Tamanho: 342 litros</t>
  </si>
  <si>
    <t>LAVADORA DE ALTA PRESSÃO PROFISSIONAL
Descrição do Material:
Lavadora de 360LBS Monofásica 110/220V com Carrinho
Hidrolavadora de alta pressão nominal 360lbs
Mangueira de 10 metros, diâmetro de 3/8"
Mangueira de entrada de 2,3mts com peneira e mangueira de saída de 10mts com esguicho
Mangueira de sucção 3/4"
Pressão Máxima: 400 Litros/Pol²
Potência do Motor: HP 3 n° Polos 4</t>
  </si>
  <si>
    <t>LIXEIRA QUADRADA PROFFISIONAL
Descrição do Material:
Lixeira retangular com tampa e pedal;
Capacidade de 100lts;
Material em PEAD (Polietileno de Alta Densidade).</t>
  </si>
  <si>
    <t>LIXEIRA SELETIVA COM 6 COLETORES
Descrição do Material:
Lixeira para coleta seletiva com estrutura metalica;
Capacidade de 50lts;</t>
  </si>
  <si>
    <t>LIXEIRA REDONDA - CESTO PARA ESCRITÓRIO
Descrição do Material:
Lixeira para escritório na cor prata;
Dimensões:
Altura: 28cm
Diametro: 26cm
Circunferencia: 78cm</t>
  </si>
  <si>
    <t xml:space="preserve">LIXEIRA DE METAL ARAMADO REDONDA, Capacidade de 15L, Cor Preta para banheiro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</si>
  <si>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REGISTRADOR ELETRÔNICO
Descrição:
Aparelho Registrador Eletrônico de Ponto Biométrico com leitor código de barras ( ou a proximidade).
Bobina de Relógio de Ponto 28 unidades</t>
  </si>
  <si>
    <t xml:space="preserve">RÁDIO MÓVEL
Descrição:
Deverá disponibilizar sem custo ao CONTRATANTE.                                                                                                                                 
1 (um) rádio para o Encarregado da CONTRATADA;
1 (um) rádio para a Fiscalização da CONTRATANTE Suporte técnico quando houver defeito e ou troca, para casos eventuais problemas ocorridos no Edifício do PGC.               </t>
  </si>
  <si>
    <t>ROUPEIRO DE AÇO C/ 16 PORTAS MÉDIAS
Descrição:
Roupeiro de Aço com 16 portas Médias em "CHAPA 24"com Pitão para Cadeado
Possui 16 Portas em"CHAPA 24" com ventilação</t>
  </si>
  <si>
    <t>Valor anual</t>
  </si>
  <si>
    <t>Valor mensal</t>
  </si>
  <si>
    <t>Valor Mensal P/ Funcionário (34 postos)</t>
  </si>
  <si>
    <t>PESQUISA DE PREÇOS</t>
  </si>
  <si>
    <t>MATERIAIS A SEREM ADQUIRIDOS PELA EMPRESA CONTRATADA NO ANO</t>
  </si>
  <si>
    <t xml:space="preserve">MATERIAIS </t>
  </si>
  <si>
    <t>CÓDIGO CATMAT</t>
  </si>
  <si>
    <t>Unidade</t>
  </si>
  <si>
    <t>Preço unitário</t>
  </si>
  <si>
    <t>Quant. Anual</t>
  </si>
  <si>
    <t>ÁLCOOL EM LÍQUIDO 46%</t>
  </si>
  <si>
    <t>litro</t>
  </si>
  <si>
    <t>TELA ODORIZANTE PARA MICTÓRIO</t>
  </si>
  <si>
    <t>unidade</t>
  </si>
  <si>
    <t>POLIDOR DE METAIS 200ml</t>
  </si>
  <si>
    <t>lata 200ml</t>
  </si>
  <si>
    <t>REFIL ÁLCOOL EM GEL</t>
  </si>
  <si>
    <t>bolsa 800ml</t>
  </si>
  <si>
    <t>CERA ACRÍLICA</t>
  </si>
  <si>
    <t>GALÃO 5 L</t>
  </si>
  <si>
    <t>CLORO CONCENTRADO</t>
  </si>
  <si>
    <t>DESINFETANTE CONCENTRADO</t>
  </si>
  <si>
    <t>DESODORIZADOR AEROSOL</t>
  </si>
  <si>
    <t>Frasco 360 ml</t>
  </si>
  <si>
    <t>DESODORIZADOR SANITÁRIO</t>
  </si>
  <si>
    <t>DETERGENTE NEUTRO</t>
  </si>
  <si>
    <t>DISCO VERDE LIMPADOR (ENCERADEIRA) 350mm</t>
  </si>
  <si>
    <t>DISCO PRETO LIMPADOR (ENCERADEIRA) 350mm</t>
  </si>
  <si>
    <t>DISCO VERMELHO LIMPADOR (ENCERADEIRA) 350mm</t>
  </si>
  <si>
    <t>DISCO BRANCO LIMPADOR (ENCERADEIRA) 350mm</t>
  </si>
  <si>
    <t>INSETICIDA EM AEROSOL</t>
  </si>
  <si>
    <t>LIMPA CARPETES</t>
  </si>
  <si>
    <t>LUSTRA MÓVEIS CREMOSO</t>
  </si>
  <si>
    <t>Frasco 500ml</t>
  </si>
  <si>
    <t>ÓLEO DE PEROBA</t>
  </si>
  <si>
    <t>Frasco 200ml</t>
  </si>
  <si>
    <t>PANO DE CHÃO GRANDE 45 x 70</t>
  </si>
  <si>
    <t>PAPEL HIGIÊNICO ROLÃO 300 metros</t>
  </si>
  <si>
    <t>cx com 8 unidades</t>
  </si>
  <si>
    <t>PAPEL TOALHA INTERFOLHADO</t>
  </si>
  <si>
    <t>cx com 5.000 fls</t>
  </si>
  <si>
    <t>PASTA LIMPADORA MULTIUSO</t>
  </si>
  <si>
    <t>Fr/500g</t>
  </si>
  <si>
    <t xml:space="preserve">REMOVEDOR DE CERA </t>
  </si>
  <si>
    <t>SABONETE LIQUIDO CONCENTRADO PEROLADO</t>
  </si>
  <si>
    <t>SABÃO EM PÓ 1KG</t>
  </si>
  <si>
    <t>KG</t>
  </si>
  <si>
    <t>SACO DE LIXO 40 LITROS PRETO</t>
  </si>
  <si>
    <t>Pct. Com 100 unidades</t>
  </si>
  <si>
    <t>SACO DE LIXO 60 LITROS PRETO</t>
  </si>
  <si>
    <t>SACO DE LIXO 100 LITROS PRETO 10 micra</t>
  </si>
  <si>
    <t>SACO DE LIXO 200 LITROS PRETO 12 micra</t>
  </si>
  <si>
    <t>ESPANADOR DE PENAS 40 CM</t>
  </si>
  <si>
    <t>ESPONJA DE LÃ DE AÇO</t>
  </si>
  <si>
    <t>Pct. Com 8 unidades 60 gramas</t>
  </si>
  <si>
    <t>ESPONJA DUPLA FACE</t>
  </si>
  <si>
    <t>Pct. Com 4 unidades</t>
  </si>
  <si>
    <t>FLANELA</t>
  </si>
  <si>
    <t>BALDE</t>
  </si>
  <si>
    <t>BONNET</t>
  </si>
  <si>
    <t>LIMPA PEDRA</t>
  </si>
  <si>
    <t>LUVA DE SEGURANÇA LATEX</t>
  </si>
  <si>
    <t>par</t>
  </si>
  <si>
    <t>PÁ DE LIXO AUTOMÁTICA PLÁSTICA</t>
  </si>
  <si>
    <t>PULVERIZADOR</t>
  </si>
  <si>
    <t>REFIL DE MOP ÁGUA PROFISSIONAL</t>
  </si>
  <si>
    <t>RODO ALUMÍNIO PROFISSIONAL 40cm</t>
  </si>
  <si>
    <t>RODO ALUMÍNIO PROFISSIONAL 70 cm</t>
  </si>
  <si>
    <t>KIT RODO LIMPA VIDRO</t>
  </si>
  <si>
    <t>REFIL RODO LIMPA VIDRO</t>
  </si>
  <si>
    <t>VASCULHO DE TETO SISAL PROFISSIONAL</t>
  </si>
  <si>
    <t>LIMPA VIDRO</t>
  </si>
  <si>
    <t>VASSOURA DE PÊLO PROFISSIONAL</t>
  </si>
  <si>
    <t>VASSOURA FEITICEIRA MÁGICA PROFISSIONAL</t>
  </si>
  <si>
    <t xml:space="preserve">VASSOURA GARI </t>
  </si>
  <si>
    <t>VASSOURINHA PIAÇAVA PARA VASO SANITÁRIO</t>
  </si>
  <si>
    <t>VASSOURA PIAÇAVA Nº3</t>
  </si>
  <si>
    <t>DESENTUPIDOR DE PIA</t>
  </si>
  <si>
    <t>DESENTUPIDOR DE VASO SANITÁRIO</t>
  </si>
  <si>
    <t>total anual</t>
  </si>
  <si>
    <t>total mensal</t>
  </si>
  <si>
    <t>Valor Mensal por empregado / 34 postos</t>
  </si>
  <si>
    <t>Processo nº: 01400.001716/2025-41</t>
  </si>
  <si>
    <t>Dispensa Eletrônica Emergencial</t>
  </si>
  <si>
    <t>Data do Dispensa:</t>
  </si>
  <si>
    <t>Tributação: Lucro Presumido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</si>
</sst>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[$€]* #,##0.00_);_([$€]* \(#,##0.00\);_([$€]* \-??_);_(@_)"/>
    <numFmt numFmtId="165" formatCode="_(&quot;R$ &quot;* #,##0.00_);_(&quot;R$ &quot;* \(#,##0.00\);_(&quot;R$ &quot;* \-??_);_(@_)"/>
    <numFmt numFmtId="166" formatCode="&quot;R$ &quot;#,##0.00"/>
    <numFmt numFmtId="167" formatCode="_-&quot;R$ &quot;* #,##0.00_-;&quot;-R$ &quot;* #,##0.00_-;_-&quot;R$ &quot;* \-??_-;_-@_-"/>
    <numFmt numFmtId="168" formatCode="&quot;R$ &quot;#,##0_);[Red]&quot;(R$ &quot;#,##0\)"/>
    <numFmt numFmtId="169" formatCode="_(* #,##0.00_);_(* \(#,##0.00\);_(* \-??_);_(@_)"/>
    <numFmt numFmtId="170" formatCode="_-* #,##0.00_-;\-* #,##0.00_-;_-* \-??_-;_-@_-"/>
    <numFmt numFmtId="171" formatCode="d/m/yyyy"/>
    <numFmt numFmtId="172" formatCode="[$R$-416]\ #,##0.00;[Red]\-[$R$-416]\ #,##0.00"/>
    <numFmt numFmtId="173" formatCode="00"/>
    <numFmt numFmtId="174" formatCode="&quot; R$ &quot;* #,##0.00\ ;&quot; R$ &quot;* \(#,##0.00\);&quot; R$ &quot;* \-#\ ;@\ "/>
    <numFmt numFmtId="175" formatCode="0.0000000"/>
    <numFmt numFmtId="176" formatCode="&quot;R$ &quot;#,##0.00;[Red]&quot;-R$ &quot;#,##0.00"/>
  </numFmts>
  <fonts count="36">
    <font>
      <sz val="11"/>
      <color rgb="FF000000"/>
      <name val="Calibri"/>
      <family val="2"/>
      <charset val="1"/>
    </font>
    <font>
      <sz val="9"/>
      <color rgb="FFFF0000"/>
      <name val="Geneva"/>
      <family val="2"/>
      <charset val="1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1"/>
      <color rgb="FFC9211E"/>
      <name val="Calibri"/>
      <family val="2"/>
      <charset val="1"/>
    </font>
    <font>
      <b/>
      <i/>
      <sz val="10"/>
      <name val="Arial"/>
      <family val="2"/>
      <charset val="1"/>
    </font>
    <font>
      <b/>
      <sz val="14"/>
      <color theme="1"/>
      <name val="Calibri"/>
      <family val="2"/>
      <charset val="1"/>
    </font>
    <font>
      <b/>
      <sz val="11"/>
      <color theme="1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theme="1"/>
      <name val="Arial"/>
      <family val="2"/>
      <charset val="1"/>
    </font>
    <font>
      <b/>
      <sz val="10"/>
      <name val="Arial Narrow"/>
      <family val="2"/>
      <charset val="1"/>
    </font>
    <font>
      <sz val="10"/>
      <color rgb="FF000000"/>
      <name val="Arial Narrow"/>
      <family val="2"/>
      <charset val="1"/>
    </font>
    <font>
      <sz val="10"/>
      <name val="Arial Narrow"/>
      <family val="2"/>
      <charset val="1"/>
    </font>
    <font>
      <b/>
      <sz val="10"/>
      <color rgb="FF0000FF"/>
      <name val="Arial Narrow"/>
      <family val="2"/>
      <charset val="1"/>
    </font>
    <font>
      <b/>
      <sz val="10"/>
      <color rgb="FF000000"/>
      <name val="Arial Narrow"/>
      <family val="2"/>
      <charset val="1"/>
    </font>
    <font>
      <vertAlign val="superscript"/>
      <sz val="10"/>
      <color rgb="FF000000"/>
      <name val="Arial Narrow"/>
      <family val="2"/>
      <charset val="1"/>
    </font>
    <font>
      <sz val="10"/>
      <color theme="0"/>
      <name val="Arial Narrow"/>
      <family val="2"/>
      <charset val="1"/>
    </font>
    <font>
      <sz val="10"/>
      <color rgb="FF0000FF"/>
      <name val="Arial Narrow"/>
      <family val="2"/>
      <charset val="1"/>
    </font>
    <font>
      <b/>
      <sz val="11"/>
      <color rgb="FF000000"/>
      <name val="Garamond"/>
      <family val="1"/>
      <charset val="1"/>
    </font>
    <font>
      <sz val="11"/>
      <color rgb="FF000000"/>
      <name val="Garamond"/>
      <family val="1"/>
      <charset val="1"/>
    </font>
    <font>
      <vertAlign val="superscript"/>
      <sz val="11"/>
      <color rgb="FF000000"/>
      <name val="Garamond"/>
      <family val="1"/>
      <charset val="1"/>
    </font>
    <font>
      <b/>
      <sz val="11"/>
      <color theme="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theme="1"/>
      <name val="Arial"/>
      <family val="2"/>
      <charset val="1"/>
    </font>
    <font>
      <sz val="11"/>
      <color rgb="FF000000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ACD"/>
      </patternFill>
    </fill>
    <fill>
      <patternFill patternType="solid">
        <fgColor rgb="FFDEEBF7"/>
        <bgColor rgb="FFDEE6EF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DEE6EF"/>
        <bgColor rgb="FFDEEBF7"/>
      </patternFill>
    </fill>
    <fill>
      <patternFill patternType="solid">
        <fgColor rgb="FFFFFACD"/>
        <bgColor rgb="FFFFF5CE"/>
      </patternFill>
    </fill>
    <fill>
      <patternFill patternType="solid">
        <fgColor rgb="FFEEECE1"/>
        <bgColor rgb="FFDEE6EF"/>
      </patternFill>
    </fill>
    <fill>
      <patternFill patternType="solid">
        <fgColor rgb="FFFFF5CE"/>
        <bgColor rgb="FFFFFACD"/>
      </patternFill>
    </fill>
    <fill>
      <patternFill patternType="solid">
        <fgColor theme="3" tint="0.79989013336588644"/>
        <bgColor rgb="FFC0C0C0"/>
      </patternFill>
    </fill>
    <fill>
      <patternFill patternType="solid">
        <fgColor rgb="FFFFD7D7"/>
        <bgColor rgb="FFF7D1D5"/>
      </patternFill>
    </fill>
    <fill>
      <patternFill patternType="solid">
        <fgColor rgb="FFF7D1D5"/>
        <bgColor rgb="FFFFD7D7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3">
    <xf numFmtId="0" fontId="0" fillId="0" borderId="0"/>
    <xf numFmtId="167" fontId="35" fillId="0" borderId="0" applyBorder="0" applyProtection="0"/>
    <xf numFmtId="9" fontId="35" fillId="0" borderId="0" applyBorder="0" applyProtection="0"/>
    <xf numFmtId="0" fontId="1" fillId="0" borderId="0"/>
    <xf numFmtId="164" fontId="2" fillId="0" borderId="0" applyBorder="0" applyProtection="0"/>
    <xf numFmtId="165" fontId="2" fillId="0" borderId="0" applyProtection="0"/>
    <xf numFmtId="166" fontId="2" fillId="0" borderId="0" applyBorder="0" applyProtection="0"/>
    <xf numFmtId="165" fontId="2" fillId="0" borderId="0" applyBorder="0" applyProtection="0"/>
    <xf numFmtId="167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9" fontId="35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70" fontId="2" fillId="0" borderId="0" applyBorder="0" applyProtection="0"/>
    <xf numFmtId="169" fontId="2" fillId="0" borderId="0" applyBorder="0" applyProtection="0"/>
  </cellStyleXfs>
  <cellXfs count="263">
    <xf numFmtId="0" fontId="0" fillId="0" borderId="0" xfId="0"/>
    <xf numFmtId="0" fontId="4" fillId="2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5" fillId="2" borderId="0" xfId="0" applyFont="1" applyFill="1"/>
    <xf numFmtId="0" fontId="2" fillId="2" borderId="0" xfId="0" applyFont="1" applyFill="1"/>
    <xf numFmtId="0" fontId="2" fillId="2" borderId="3" xfId="0" applyFont="1" applyFill="1" applyBorder="1"/>
    <xf numFmtId="17" fontId="4" fillId="0" borderId="0" xfId="0" applyNumberFormat="1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4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171" fontId="2" fillId="2" borderId="5" xfId="0" applyNumberFormat="1" applyFont="1" applyFill="1" applyBorder="1" applyAlignment="1">
      <alignment horizontal="left"/>
    </xf>
    <xf numFmtId="0" fontId="2" fillId="2" borderId="5" xfId="0" applyFont="1" applyFill="1" applyBorder="1" applyAlignment="1">
      <alignment horizontal="right"/>
    </xf>
    <xf numFmtId="20" fontId="2" fillId="2" borderId="5" xfId="0" applyNumberFormat="1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/>
    <xf numFmtId="0" fontId="4" fillId="2" borderId="11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0" xfId="0" applyFont="1" applyFill="1" applyBorder="1"/>
    <xf numFmtId="0" fontId="2" fillId="2" borderId="11" xfId="0" applyFont="1" applyFill="1" applyBorder="1"/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/>
    <xf numFmtId="10" fontId="4" fillId="0" borderId="1" xfId="2" applyNumberFormat="1" applyFont="1" applyBorder="1" applyAlignment="1" applyProtection="1">
      <alignment horizontal="center"/>
    </xf>
    <xf numFmtId="167" fontId="4" fillId="0" borderId="1" xfId="0" applyNumberFormat="1" applyFont="1" applyBorder="1" applyAlignment="1">
      <alignment horizontal="center"/>
    </xf>
    <xf numFmtId="10" fontId="4" fillId="2" borderId="1" xfId="2" applyNumberFormat="1" applyFont="1" applyFill="1" applyBorder="1" applyAlignment="1" applyProtection="1">
      <alignment horizontal="center"/>
    </xf>
    <xf numFmtId="10" fontId="4" fillId="0" borderId="1" xfId="0" applyNumberFormat="1" applyFont="1" applyBorder="1" applyAlignment="1">
      <alignment horizontal="center"/>
    </xf>
    <xf numFmtId="172" fontId="4" fillId="0" borderId="1" xfId="1" applyNumberFormat="1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  <protection locked="0"/>
    </xf>
    <xf numFmtId="0" fontId="2" fillId="0" borderId="10" xfId="0" applyFont="1" applyBorder="1"/>
    <xf numFmtId="0" fontId="2" fillId="0" borderId="11" xfId="0" applyFont="1" applyBorder="1"/>
    <xf numFmtId="0" fontId="2" fillId="0" borderId="13" xfId="0" applyFont="1" applyBorder="1"/>
    <xf numFmtId="10" fontId="4" fillId="0" borderId="13" xfId="2" applyNumberFormat="1" applyFont="1" applyBorder="1" applyAlignment="1" applyProtection="1">
      <alignment horizontal="center"/>
    </xf>
    <xf numFmtId="10" fontId="4" fillId="0" borderId="0" xfId="2" applyNumberFormat="1" applyFont="1" applyBorder="1" applyAlignment="1" applyProtection="1">
      <alignment horizontal="center"/>
      <protection locked="0"/>
    </xf>
    <xf numFmtId="10" fontId="6" fillId="4" borderId="1" xfId="0" applyNumberFormat="1" applyFont="1" applyFill="1" applyBorder="1" applyAlignment="1">
      <alignment horizontal="center"/>
    </xf>
    <xf numFmtId="172" fontId="6" fillId="5" borderId="1" xfId="1" applyNumberFormat="1" applyFont="1" applyFill="1" applyBorder="1" applyAlignment="1" applyProtection="1">
      <alignment horizontal="right"/>
    </xf>
    <xf numFmtId="172" fontId="4" fillId="0" borderId="1" xfId="0" applyNumberFormat="1" applyFont="1" applyBorder="1" applyAlignment="1">
      <alignment horizontal="left" vertical="center"/>
    </xf>
    <xf numFmtId="172" fontId="4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172" fontId="2" fillId="0" borderId="1" xfId="1" applyNumberFormat="1" applyFont="1" applyBorder="1" applyAlignment="1" applyProtection="1">
      <alignment horizontal="right"/>
    </xf>
    <xf numFmtId="10" fontId="2" fillId="0" borderId="1" xfId="26" applyNumberFormat="1" applyFont="1" applyBorder="1" applyAlignment="1" applyProtection="1">
      <alignment horizontal="center" vertical="center"/>
    </xf>
    <xf numFmtId="0" fontId="6" fillId="4" borderId="10" xfId="0" applyFont="1" applyFill="1" applyBorder="1"/>
    <xf numFmtId="0" fontId="6" fillId="4" borderId="11" xfId="0" applyFont="1" applyFill="1" applyBorder="1"/>
    <xf numFmtId="167" fontId="6" fillId="4" borderId="13" xfId="0" applyNumberFormat="1" applyFont="1" applyFill="1" applyBorder="1"/>
    <xf numFmtId="172" fontId="4" fillId="0" borderId="1" xfId="0" applyNumberFormat="1" applyFont="1" applyBorder="1" applyAlignment="1">
      <alignment horizontal="right"/>
    </xf>
    <xf numFmtId="10" fontId="2" fillId="4" borderId="1" xfId="2" applyNumberFormat="1" applyFont="1" applyFill="1" applyBorder="1" applyAlignment="1" applyProtection="1">
      <alignment horizontal="center"/>
    </xf>
    <xf numFmtId="172" fontId="4" fillId="4" borderId="1" xfId="0" applyNumberFormat="1" applyFont="1" applyFill="1" applyBorder="1" applyAlignment="1">
      <alignment horizontal="right"/>
    </xf>
    <xf numFmtId="172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72" fontId="7" fillId="4" borderId="1" xfId="1" applyNumberFormat="1" applyFont="1" applyFill="1" applyBorder="1" applyAlignment="1" applyProtection="1">
      <alignment horizontal="right"/>
    </xf>
    <xf numFmtId="10" fontId="2" fillId="0" borderId="1" xfId="0" applyNumberFormat="1" applyFont="1" applyBorder="1" applyAlignment="1">
      <alignment horizontal="center"/>
    </xf>
    <xf numFmtId="10" fontId="2" fillId="0" borderId="13" xfId="0" applyNumberFormat="1" applyFont="1" applyBorder="1" applyAlignment="1">
      <alignment horizontal="center"/>
    </xf>
    <xf numFmtId="0" fontId="2" fillId="2" borderId="10" xfId="0" applyFont="1" applyFill="1" applyBorder="1" applyAlignment="1">
      <alignment horizontal="left" vertical="center"/>
    </xf>
    <xf numFmtId="0" fontId="2" fillId="2" borderId="13" xfId="0" applyFont="1" applyFill="1" applyBorder="1"/>
    <xf numFmtId="0" fontId="2" fillId="4" borderId="1" xfId="0" applyFont="1" applyFill="1" applyBorder="1"/>
    <xf numFmtId="0" fontId="11" fillId="7" borderId="15" xfId="0" applyFont="1" applyFill="1" applyBorder="1" applyAlignment="1">
      <alignment horizontal="justify"/>
    </xf>
    <xf numFmtId="0" fontId="11" fillId="7" borderId="16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horizontal="justify" vertical="center" wrapText="1"/>
    </xf>
    <xf numFmtId="0" fontId="11" fillId="7" borderId="15" xfId="0" applyFont="1" applyFill="1" applyBorder="1" applyAlignment="1">
      <alignment horizontal="justify" vertical="center"/>
    </xf>
    <xf numFmtId="0" fontId="11" fillId="7" borderId="17" xfId="0" applyFont="1" applyFill="1" applyBorder="1" applyAlignment="1">
      <alignment horizontal="justify" vertical="center"/>
    </xf>
    <xf numFmtId="0" fontId="12" fillId="0" borderId="1" xfId="24" applyFont="1" applyBorder="1" applyAlignment="1">
      <alignment horizontal="justify"/>
    </xf>
    <xf numFmtId="0" fontId="13" fillId="0" borderId="18" xfId="0" applyFont="1" applyBorder="1" applyAlignment="1">
      <alignment horizontal="center"/>
    </xf>
    <xf numFmtId="0" fontId="13" fillId="0" borderId="18" xfId="0" applyFont="1" applyBorder="1" applyAlignment="1">
      <alignment horizontal="justify" vertical="center" wrapText="1"/>
    </xf>
    <xf numFmtId="165" fontId="13" fillId="0" borderId="19" xfId="1" applyNumberFormat="1" applyFont="1" applyBorder="1" applyAlignment="1" applyProtection="1">
      <alignment horizontal="justify" vertical="center"/>
    </xf>
    <xf numFmtId="165" fontId="13" fillId="0" borderId="20" xfId="1" applyNumberFormat="1" applyFont="1" applyBorder="1" applyAlignment="1" applyProtection="1">
      <alignment horizontal="justify" vertical="center"/>
    </xf>
    <xf numFmtId="165" fontId="13" fillId="0" borderId="17" xfId="1" applyNumberFormat="1" applyFont="1" applyBorder="1" applyAlignment="1" applyProtection="1">
      <alignment horizontal="justify" vertical="center"/>
    </xf>
    <xf numFmtId="0" fontId="13" fillId="0" borderId="16" xfId="0" applyFont="1" applyBorder="1" applyAlignment="1">
      <alignment horizontal="justify"/>
    </xf>
    <xf numFmtId="0" fontId="13" fillId="0" borderId="15" xfId="0" applyFont="1" applyBorder="1" applyAlignment="1">
      <alignment horizontal="justify" vertical="center" wrapText="1"/>
    </xf>
    <xf numFmtId="0" fontId="13" fillId="0" borderId="21" xfId="0" applyFont="1" applyBorder="1" applyAlignment="1">
      <alignment horizontal="justify" vertical="center" wrapText="1"/>
    </xf>
    <xf numFmtId="0" fontId="13" fillId="0" borderId="15" xfId="0" applyFont="1" applyBorder="1" applyAlignment="1">
      <alignment horizontal="justify"/>
    </xf>
    <xf numFmtId="165" fontId="13" fillId="0" borderId="15" xfId="1" applyNumberFormat="1" applyFont="1" applyBorder="1" applyAlignment="1" applyProtection="1">
      <alignment horizontal="justify" vertical="center"/>
    </xf>
    <xf numFmtId="0" fontId="13" fillId="0" borderId="15" xfId="0" applyFont="1" applyBorder="1" applyAlignment="1">
      <alignment horizontal="center"/>
    </xf>
    <xf numFmtId="0" fontId="13" fillId="0" borderId="21" xfId="0" applyFont="1" applyBorder="1" applyAlignment="1">
      <alignment horizontal="justify"/>
    </xf>
    <xf numFmtId="165" fontId="13" fillId="0" borderId="22" xfId="1" applyNumberFormat="1" applyFont="1" applyBorder="1" applyAlignment="1" applyProtection="1">
      <alignment horizontal="justify"/>
    </xf>
    <xf numFmtId="0" fontId="13" fillId="7" borderId="15" xfId="0" applyFont="1" applyFill="1" applyBorder="1" applyAlignment="1">
      <alignment horizontal="justify"/>
    </xf>
    <xf numFmtId="0" fontId="13" fillId="7" borderId="23" xfId="0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justify" vertical="center"/>
    </xf>
    <xf numFmtId="165" fontId="13" fillId="7" borderId="15" xfId="0" applyNumberFormat="1" applyFont="1" applyFill="1" applyBorder="1" applyAlignment="1">
      <alignment horizontal="justify" vertical="center"/>
    </xf>
    <xf numFmtId="0" fontId="11" fillId="0" borderId="0" xfId="0" applyFont="1" applyAlignment="1">
      <alignment horizontal="justify"/>
    </xf>
    <xf numFmtId="0" fontId="13" fillId="0" borderId="0" xfId="0" applyFont="1" applyAlignment="1">
      <alignment horizontal="justify" vertical="center"/>
    </xf>
    <xf numFmtId="165" fontId="11" fillId="0" borderId="0" xfId="0" applyNumberFormat="1" applyFont="1" applyAlignment="1">
      <alignment horizontal="justify" vertical="center"/>
    </xf>
    <xf numFmtId="0" fontId="13" fillId="2" borderId="15" xfId="0" applyFont="1" applyFill="1" applyBorder="1" applyAlignment="1">
      <alignment horizontal="justify" vertical="center" wrapText="1"/>
    </xf>
    <xf numFmtId="165" fontId="13" fillId="2" borderId="19" xfId="1" applyNumberFormat="1" applyFont="1" applyFill="1" applyBorder="1" applyAlignment="1" applyProtection="1">
      <alignment horizontal="justify" vertical="center"/>
    </xf>
    <xf numFmtId="165" fontId="13" fillId="2" borderId="20" xfId="1" applyNumberFormat="1" applyFont="1" applyFill="1" applyBorder="1" applyAlignment="1" applyProtection="1">
      <alignment horizontal="justify" vertical="center"/>
    </xf>
    <xf numFmtId="0" fontId="13" fillId="2" borderId="21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justify"/>
    </xf>
    <xf numFmtId="0" fontId="13" fillId="2" borderId="15" xfId="0" applyFont="1" applyFill="1" applyBorder="1" applyAlignment="1">
      <alignment horizontal="justify"/>
    </xf>
    <xf numFmtId="165" fontId="13" fillId="2" borderId="15" xfId="1" applyNumberFormat="1" applyFont="1" applyFill="1" applyBorder="1" applyAlignment="1" applyProtection="1">
      <alignment horizontal="justify" vertical="center"/>
    </xf>
    <xf numFmtId="0" fontId="13" fillId="2" borderId="21" xfId="0" applyFont="1" applyFill="1" applyBorder="1" applyAlignment="1">
      <alignment horizontal="justify"/>
    </xf>
    <xf numFmtId="165" fontId="13" fillId="2" borderId="22" xfId="1" applyNumberFormat="1" applyFont="1" applyFill="1" applyBorder="1" applyAlignment="1" applyProtection="1">
      <alignment horizontal="justify"/>
    </xf>
    <xf numFmtId="165" fontId="11" fillId="7" borderId="17" xfId="1" applyNumberFormat="1" applyFont="1" applyFill="1" applyBorder="1" applyAlignment="1" applyProtection="1">
      <alignment horizontal="justify" vertical="center"/>
    </xf>
    <xf numFmtId="0" fontId="14" fillId="0" borderId="2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172" fontId="21" fillId="0" borderId="1" xfId="1" applyNumberFormat="1" applyFont="1" applyBorder="1" applyAlignment="1" applyProtection="1">
      <alignment horizontal="right" vertical="center"/>
    </xf>
    <xf numFmtId="172" fontId="15" fillId="0" borderId="1" xfId="0" applyNumberFormat="1" applyFont="1" applyBorder="1" applyAlignment="1">
      <alignment horizontal="right" vertical="center"/>
    </xf>
    <xf numFmtId="174" fontId="18" fillId="9" borderId="0" xfId="1" applyNumberFormat="1" applyFont="1" applyFill="1" applyBorder="1" applyAlignment="1" applyProtection="1">
      <alignment horizontal="left" vertical="center" wrapText="1"/>
    </xf>
    <xf numFmtId="172" fontId="18" fillId="9" borderId="0" xfId="0" applyNumberFormat="1" applyFont="1" applyFill="1" applyAlignment="1">
      <alignment vertical="center"/>
    </xf>
    <xf numFmtId="174" fontId="18" fillId="0" borderId="0" xfId="1" applyNumberFormat="1" applyFont="1" applyBorder="1" applyAlignment="1" applyProtection="1">
      <alignment horizontal="left" vertical="center"/>
    </xf>
    <xf numFmtId="174" fontId="18" fillId="0" borderId="0" xfId="0" applyNumberFormat="1" applyFont="1" applyAlignment="1">
      <alignment horizontal="left" vertical="center"/>
    </xf>
    <xf numFmtId="172" fontId="18" fillId="0" borderId="0" xfId="0" applyNumberFormat="1" applyFont="1" applyAlignment="1">
      <alignment vertical="center"/>
    </xf>
    <xf numFmtId="0" fontId="16" fillId="0" borderId="1" xfId="1" applyNumberFormat="1" applyFont="1" applyBorder="1" applyAlignment="1" applyProtection="1">
      <alignment horizontal="center" vertical="center"/>
    </xf>
    <xf numFmtId="172" fontId="15" fillId="0" borderId="1" xfId="0" applyNumberFormat="1" applyFont="1" applyBorder="1" applyAlignment="1">
      <alignment horizontal="right" vertical="center" wrapText="1"/>
    </xf>
    <xf numFmtId="175" fontId="16" fillId="0" borderId="1" xfId="1" applyNumberFormat="1" applyFont="1" applyBorder="1" applyAlignment="1" applyProtection="1">
      <alignment horizontal="right" vertical="center"/>
    </xf>
    <xf numFmtId="172" fontId="16" fillId="0" borderId="1" xfId="0" applyNumberFormat="1" applyFont="1" applyBorder="1" applyAlignment="1">
      <alignment horizontal="right" vertical="top"/>
    </xf>
    <xf numFmtId="0" fontId="16" fillId="0" borderId="1" xfId="0" applyFont="1" applyBorder="1" applyAlignment="1">
      <alignment horizontal="right" vertical="top"/>
    </xf>
    <xf numFmtId="176" fontId="16" fillId="0" borderId="1" xfId="0" applyNumberFormat="1" applyFont="1" applyBorder="1" applyAlignment="1">
      <alignment horizontal="right" vertical="top"/>
    </xf>
    <xf numFmtId="2" fontId="21" fillId="0" borderId="1" xfId="1" applyNumberFormat="1" applyFont="1" applyBorder="1" applyAlignment="1" applyProtection="1">
      <alignment horizontal="center" vertical="center"/>
    </xf>
    <xf numFmtId="2" fontId="15" fillId="0" borderId="0" xfId="0" applyNumberFormat="1" applyFont="1" applyAlignment="1">
      <alignment horizontal="left" vertical="center"/>
    </xf>
    <xf numFmtId="172" fontId="18" fillId="10" borderId="1" xfId="0" applyNumberFormat="1" applyFont="1" applyFill="1" applyBorder="1" applyAlignment="1">
      <alignment horizontal="right" vertical="center"/>
    </xf>
    <xf numFmtId="2" fontId="15" fillId="0" borderId="0" xfId="0" applyNumberFormat="1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72" fontId="16" fillId="0" borderId="1" xfId="1" applyNumberFormat="1" applyFont="1" applyBorder="1" applyAlignment="1" applyProtection="1">
      <alignment horizontal="right" vertical="center"/>
    </xf>
    <xf numFmtId="2" fontId="21" fillId="0" borderId="0" xfId="1" applyNumberFormat="1" applyFont="1" applyBorder="1" applyAlignment="1" applyProtection="1">
      <alignment horizontal="center" vertical="center"/>
    </xf>
    <xf numFmtId="0" fontId="18" fillId="0" borderId="0" xfId="0" applyFont="1" applyAlignment="1">
      <alignment horizontal="left" vertical="center"/>
    </xf>
    <xf numFmtId="0" fontId="18" fillId="10" borderId="1" xfId="1" applyNumberFormat="1" applyFont="1" applyFill="1" applyBorder="1" applyAlignment="1" applyProtection="1">
      <alignment horizontal="center" vertical="center"/>
    </xf>
    <xf numFmtId="172" fontId="18" fillId="10" borderId="1" xfId="0" applyNumberFormat="1" applyFont="1" applyFill="1" applyBorder="1" applyAlignment="1">
      <alignment vertical="center"/>
    </xf>
    <xf numFmtId="172" fontId="18" fillId="10" borderId="1" xfId="1" applyNumberFormat="1" applyFont="1" applyFill="1" applyBorder="1" applyAlignment="1" applyProtection="1">
      <alignment horizontal="right" vertical="center"/>
    </xf>
    <xf numFmtId="0" fontId="18" fillId="0" borderId="0" xfId="0" applyFont="1" applyAlignment="1">
      <alignment vertical="center"/>
    </xf>
    <xf numFmtId="2" fontId="18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left" vertical="center"/>
    </xf>
    <xf numFmtId="0" fontId="25" fillId="7" borderId="1" xfId="0" applyFont="1" applyFill="1" applyBorder="1" applyAlignment="1">
      <alignment horizontal="center" vertical="center"/>
    </xf>
    <xf numFmtId="0" fontId="26" fillId="7" borderId="1" xfId="0" applyFont="1" applyFill="1" applyBorder="1"/>
    <xf numFmtId="0" fontId="25" fillId="0" borderId="1" xfId="0" applyFont="1" applyBorder="1"/>
    <xf numFmtId="0" fontId="0" fillId="0" borderId="1" xfId="0" applyBorder="1" applyAlignment="1">
      <alignment horizontal="center" vertical="center"/>
    </xf>
    <xf numFmtId="165" fontId="27" fillId="0" borderId="1" xfId="1" applyNumberFormat="1" applyFont="1" applyBorder="1" applyAlignment="1" applyProtection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8" fillId="11" borderId="1" xfId="0" applyFont="1" applyFill="1" applyBorder="1" applyAlignment="1">
      <alignment horizontal="center" vertical="center"/>
    </xf>
    <xf numFmtId="4" fontId="28" fillId="11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wrapText="1"/>
    </xf>
    <xf numFmtId="0" fontId="29" fillId="7" borderId="1" xfId="0" applyFont="1" applyFill="1" applyBorder="1" applyAlignment="1">
      <alignment horizontal="center" vertical="center"/>
    </xf>
    <xf numFmtId="4" fontId="29" fillId="7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29" fillId="0" borderId="1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0" fontId="30" fillId="0" borderId="0" xfId="0" applyFont="1" applyAlignment="1">
      <alignment wrapText="1"/>
    </xf>
    <xf numFmtId="4" fontId="25" fillId="0" borderId="1" xfId="0" applyNumberFormat="1" applyFont="1" applyBorder="1" applyAlignment="1">
      <alignment horizontal="center" vertical="center"/>
    </xf>
    <xf numFmtId="0" fontId="32" fillId="7" borderId="1" xfId="0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horizontal="center" vertical="center"/>
    </xf>
    <xf numFmtId="0" fontId="32" fillId="12" borderId="1" xfId="0" applyFont="1" applyFill="1" applyBorder="1" applyAlignment="1">
      <alignment horizontal="center" vertical="center" wrapText="1"/>
    </xf>
    <xf numFmtId="0" fontId="33" fillId="12" borderId="1" xfId="0" applyFont="1" applyFill="1" applyBorder="1" applyAlignment="1">
      <alignment horizontal="center" vertical="center"/>
    </xf>
    <xf numFmtId="172" fontId="33" fillId="12" borderId="1" xfId="0" applyNumberFormat="1" applyFont="1" applyFill="1" applyBorder="1" applyAlignment="1">
      <alignment horizontal="center" vertical="center"/>
    </xf>
    <xf numFmtId="172" fontId="32" fillId="12" borderId="1" xfId="0" applyNumberFormat="1" applyFont="1" applyFill="1" applyBorder="1" applyAlignment="1">
      <alignment horizontal="center" vertical="center"/>
    </xf>
    <xf numFmtId="0" fontId="0" fillId="13" borderId="0" xfId="0" applyFill="1"/>
    <xf numFmtId="0" fontId="33" fillId="13" borderId="1" xfId="0" applyFont="1" applyFill="1" applyBorder="1" applyAlignment="1">
      <alignment horizontal="center"/>
    </xf>
    <xf numFmtId="0" fontId="32" fillId="13" borderId="1" xfId="0" applyFont="1" applyFill="1" applyBorder="1" applyAlignment="1">
      <alignment horizontal="center" vertical="center" wrapText="1"/>
    </xf>
    <xf numFmtId="0" fontId="33" fillId="13" borderId="0" xfId="0" applyFont="1" applyFill="1" applyAlignment="1">
      <alignment horizontal="center"/>
    </xf>
    <xf numFmtId="172" fontId="33" fillId="13" borderId="1" xfId="0" applyNumberFormat="1" applyFont="1" applyFill="1" applyBorder="1" applyAlignment="1">
      <alignment horizontal="center" vertical="center"/>
    </xf>
    <xf numFmtId="172" fontId="32" fillId="13" borderId="1" xfId="0" applyNumberFormat="1" applyFont="1" applyFill="1" applyBorder="1" applyAlignment="1">
      <alignment horizontal="center" vertical="center"/>
    </xf>
    <xf numFmtId="0" fontId="33" fillId="13" borderId="1" xfId="0" applyFont="1" applyFill="1" applyBorder="1" applyAlignment="1">
      <alignment horizontal="center" vertical="center"/>
    </xf>
    <xf numFmtId="0" fontId="33" fillId="13" borderId="1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0" fillId="6" borderId="0" xfId="0" applyFill="1"/>
    <xf numFmtId="0" fontId="34" fillId="13" borderId="1" xfId="0" applyFont="1" applyFill="1" applyBorder="1" applyAlignment="1">
      <alignment horizontal="center"/>
    </xf>
    <xf numFmtId="0" fontId="33" fillId="13" borderId="1" xfId="0" applyFont="1" applyFill="1" applyBorder="1" applyAlignment="1">
      <alignment horizontal="justify" vertical="center"/>
    </xf>
    <xf numFmtId="0" fontId="0" fillId="13" borderId="1" xfId="0" applyFill="1" applyBorder="1" applyAlignment="1">
      <alignment horizontal="center"/>
    </xf>
    <xf numFmtId="172" fontId="33" fillId="7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73" fontId="15" fillId="0" borderId="26" xfId="0" applyNumberFormat="1" applyFont="1" applyBorder="1" applyAlignment="1">
      <alignment horizontal="center" vertical="center" shrinkToFit="1"/>
    </xf>
    <xf numFmtId="0" fontId="16" fillId="0" borderId="27" xfId="0" applyFont="1" applyBorder="1" applyAlignment="1">
      <alignment horizontal="center" vertical="center" wrapText="1"/>
    </xf>
    <xf numFmtId="166" fontId="14" fillId="0" borderId="28" xfId="1" applyNumberFormat="1" applyFont="1" applyBorder="1" applyAlignment="1" applyProtection="1">
      <alignment horizontal="center" vertical="center"/>
    </xf>
    <xf numFmtId="166" fontId="14" fillId="0" borderId="29" xfId="1" applyNumberFormat="1" applyFont="1" applyBorder="1" applyAlignment="1" applyProtection="1">
      <alignment horizontal="center" vertical="center"/>
    </xf>
    <xf numFmtId="0" fontId="18" fillId="8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8" fillId="10" borderId="1" xfId="0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1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71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172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1" fontId="4" fillId="0" borderId="1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vertical="center"/>
    </xf>
    <xf numFmtId="166" fontId="6" fillId="4" borderId="1" xfId="0" applyNumberFormat="1" applyFont="1" applyFill="1" applyBorder="1" applyAlignment="1">
      <alignment horizontal="center"/>
    </xf>
    <xf numFmtId="172" fontId="7" fillId="0" borderId="1" xfId="1" applyNumberFormat="1" applyFont="1" applyBorder="1" applyAlignment="1" applyProtection="1">
      <alignment horizontal="right"/>
    </xf>
    <xf numFmtId="0" fontId="2" fillId="2" borderId="1" xfId="0" applyFont="1" applyFill="1" applyBorder="1" applyAlignment="1">
      <alignment horizontal="center" vertical="center"/>
    </xf>
    <xf numFmtId="167" fontId="35" fillId="0" borderId="1" xfId="1" applyBorder="1" applyProtection="1"/>
    <xf numFmtId="167" fontId="35" fillId="0" borderId="13" xfId="1" applyBorder="1" applyProtection="1"/>
    <xf numFmtId="0" fontId="2" fillId="2" borderId="1" xfId="0" applyFont="1" applyFill="1" applyBorder="1" applyAlignment="1">
      <alignment horizontal="left" vertical="center"/>
    </xf>
    <xf numFmtId="172" fontId="35" fillId="0" borderId="9" xfId="1" applyNumberFormat="1" applyBorder="1" applyAlignment="1" applyProtection="1">
      <alignment horizontal="right"/>
    </xf>
    <xf numFmtId="0" fontId="6" fillId="4" borderId="1" xfId="0" applyFont="1" applyFill="1" applyBorder="1" applyAlignment="1">
      <alignment horizontal="center" vertical="center"/>
    </xf>
    <xf numFmtId="172" fontId="6" fillId="4" borderId="1" xfId="1" applyNumberFormat="1" applyFont="1" applyFill="1" applyBorder="1" applyAlignment="1" applyProtection="1">
      <alignment horizontal="right"/>
    </xf>
    <xf numFmtId="0" fontId="6" fillId="4" borderId="1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2" fontId="7" fillId="2" borderId="9" xfId="1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172" fontId="2" fillId="0" borderId="1" xfId="1" applyNumberFormat="1" applyFont="1" applyBorder="1" applyAlignment="1" applyProtection="1">
      <alignment horizontal="right"/>
    </xf>
    <xf numFmtId="0" fontId="4" fillId="0" borderId="0" xfId="0" applyFont="1" applyAlignment="1">
      <alignment horizontal="center"/>
    </xf>
    <xf numFmtId="0" fontId="6" fillId="0" borderId="11" xfId="0" applyFont="1" applyBorder="1" applyAlignment="1">
      <alignment horizontal="left" vertical="center"/>
    </xf>
    <xf numFmtId="167" fontId="6" fillId="4" borderId="1" xfId="1" applyFont="1" applyFill="1" applyBorder="1" applyAlignment="1" applyProtection="1">
      <alignment horizontal="left"/>
    </xf>
    <xf numFmtId="0" fontId="7" fillId="4" borderId="1" xfId="0" applyFont="1" applyFill="1" applyBorder="1" applyAlignment="1">
      <alignment horizontal="left" vertical="center"/>
    </xf>
    <xf numFmtId="172" fontId="4" fillId="4" borderId="1" xfId="1" applyNumberFormat="1" applyFont="1" applyFill="1" applyBorder="1" applyAlignment="1" applyProtection="1">
      <alignment horizontal="right"/>
    </xf>
    <xf numFmtId="172" fontId="2" fillId="2" borderId="1" xfId="1" applyNumberFormat="1" applyFont="1" applyFill="1" applyBorder="1" applyAlignment="1" applyProtection="1">
      <alignment horizontal="right"/>
    </xf>
    <xf numFmtId="0" fontId="2" fillId="0" borderId="1" xfId="0" applyFont="1" applyBorder="1" applyAlignment="1">
      <alignment horizontal="left"/>
    </xf>
    <xf numFmtId="172" fontId="7" fillId="4" borderId="1" xfId="1" applyNumberFormat="1" applyFont="1" applyFill="1" applyBorder="1" applyAlignment="1" applyProtection="1">
      <alignment horizontal="right"/>
    </xf>
    <xf numFmtId="0" fontId="5" fillId="2" borderId="0" xfId="0" applyFont="1" applyFill="1" applyAlignment="1">
      <alignment horizontal="left"/>
    </xf>
    <xf numFmtId="0" fontId="2" fillId="0" borderId="1" xfId="0" applyFont="1" applyBorder="1" applyAlignment="1">
      <alignment horizontal="right"/>
    </xf>
    <xf numFmtId="0" fontId="2" fillId="6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9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2" fontId="35" fillId="0" borderId="1" xfId="1" applyNumberFormat="1" applyBorder="1" applyAlignment="1" applyProtection="1">
      <alignment horizontal="right"/>
    </xf>
    <xf numFmtId="172" fontId="35" fillId="0" borderId="13" xfId="1" applyNumberFormat="1" applyBorder="1" applyAlignment="1" applyProtection="1">
      <alignment horizontal="right"/>
    </xf>
    <xf numFmtId="0" fontId="10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11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wrapText="1"/>
    </xf>
    <xf numFmtId="0" fontId="32" fillId="7" borderId="1" xfId="0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center" vertical="center"/>
    </xf>
    <xf numFmtId="0" fontId="33" fillId="7" borderId="1" xfId="0" applyFont="1" applyFill="1" applyBorder="1" applyAlignment="1">
      <alignment horizontal="center" vertical="center" wrapText="1"/>
    </xf>
  </cellXfs>
  <cellStyles count="43">
    <cellStyle name="Cancel" xfId="3" xr:uid="{00000000-0005-0000-0000-000006000000}"/>
    <cellStyle name="Euro" xfId="4" xr:uid="{00000000-0005-0000-0000-000007000000}"/>
    <cellStyle name="Moeda" xfId="1" builtinId="4"/>
    <cellStyle name="Moeda 2" xfId="5" xr:uid="{00000000-0005-0000-0000-000008000000}"/>
    <cellStyle name="Moeda 2 2" xfId="6" xr:uid="{00000000-0005-0000-0000-000009000000}"/>
    <cellStyle name="Moeda 3" xfId="7" xr:uid="{00000000-0005-0000-0000-00000A000000}"/>
    <cellStyle name="Moeda 4" xfId="8" xr:uid="{00000000-0005-0000-0000-00000B000000}"/>
    <cellStyle name="Moeda 4 2" xfId="9" xr:uid="{00000000-0005-0000-0000-00000C000000}"/>
    <cellStyle name="Moeda 5" xfId="10" xr:uid="{00000000-0005-0000-0000-00000D000000}"/>
    <cellStyle name="Moeda 6" xfId="11" xr:uid="{00000000-0005-0000-0000-00000E000000}"/>
    <cellStyle name="Normal" xfId="0" builtinId="0"/>
    <cellStyle name="Normal 10" xfId="12" xr:uid="{00000000-0005-0000-0000-00000F000000}"/>
    <cellStyle name="Normal 10 2" xfId="13" xr:uid="{00000000-0005-0000-0000-000010000000}"/>
    <cellStyle name="Normal 10 3" xfId="14" xr:uid="{00000000-0005-0000-0000-000011000000}"/>
    <cellStyle name="Normal 10 4" xfId="15" xr:uid="{00000000-0005-0000-0000-000012000000}"/>
    <cellStyle name="Normal 10 5" xfId="16" xr:uid="{00000000-0005-0000-0000-000013000000}"/>
    <cellStyle name="Normal 10 6" xfId="17" xr:uid="{00000000-0005-0000-0000-000014000000}"/>
    <cellStyle name="Normal 10 7" xfId="18" xr:uid="{00000000-0005-0000-0000-000015000000}"/>
    <cellStyle name="Normal 2" xfId="19" xr:uid="{00000000-0005-0000-0000-000016000000}"/>
    <cellStyle name="Normal 2 2" xfId="20" xr:uid="{00000000-0005-0000-0000-000017000000}"/>
    <cellStyle name="Normal 2 6" xfId="21" xr:uid="{00000000-0005-0000-0000-000018000000}"/>
    <cellStyle name="Normal 3" xfId="22" xr:uid="{00000000-0005-0000-0000-000019000000}"/>
    <cellStyle name="Normal 4" xfId="23" xr:uid="{00000000-0005-0000-0000-00001A000000}"/>
    <cellStyle name="Normal 4 2" xfId="24" xr:uid="{00000000-0005-0000-0000-00001B000000}"/>
    <cellStyle name="Normal 5" xfId="25" xr:uid="{00000000-0005-0000-0000-00001C000000}"/>
    <cellStyle name="Porcentagem" xfId="2" builtinId="5"/>
    <cellStyle name="Porcentagem 10" xfId="26" xr:uid="{00000000-0005-0000-0000-00001E000000}"/>
    <cellStyle name="Porcentagem 2" xfId="27" xr:uid="{00000000-0005-0000-0000-00001F000000}"/>
    <cellStyle name="Porcentagem 2 2" xfId="28" xr:uid="{00000000-0005-0000-0000-000020000000}"/>
    <cellStyle name="Porcentagem 3" xfId="29" xr:uid="{00000000-0005-0000-0000-000021000000}"/>
    <cellStyle name="Porcentagem 4" xfId="30" xr:uid="{00000000-0005-0000-0000-000022000000}"/>
    <cellStyle name="Porcentagem 5" xfId="31" xr:uid="{00000000-0005-0000-0000-000023000000}"/>
    <cellStyle name="Porcentagem 5 2" xfId="32" xr:uid="{00000000-0005-0000-0000-000024000000}"/>
    <cellStyle name="Porcentagem 5 3" xfId="33" xr:uid="{00000000-0005-0000-0000-000025000000}"/>
    <cellStyle name="Porcentagem 5 4" xfId="34" xr:uid="{00000000-0005-0000-0000-000026000000}"/>
    <cellStyle name="Porcentagem 5 5" xfId="35" xr:uid="{00000000-0005-0000-0000-000027000000}"/>
    <cellStyle name="Porcentagem 5 6" xfId="36" xr:uid="{00000000-0005-0000-0000-000028000000}"/>
    <cellStyle name="Porcentagem 5 7" xfId="37" xr:uid="{00000000-0005-0000-0000-000029000000}"/>
    <cellStyle name="Porcentagem 6" xfId="38" xr:uid="{00000000-0005-0000-0000-00002A000000}"/>
    <cellStyle name="Separador de milhares 2" xfId="39" xr:uid="{00000000-0005-0000-0000-00002B000000}"/>
    <cellStyle name="Separador de milhares 2 2" xfId="40" xr:uid="{00000000-0005-0000-0000-00002C000000}"/>
    <cellStyle name="Separador de milhares 3" xfId="41" xr:uid="{00000000-0005-0000-0000-00002D000000}"/>
    <cellStyle name="Vírgula 2" xfId="42" xr:uid="{00000000-0005-0000-0000-00002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ACD"/>
      <rgbColor rgb="FFDEEBF7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6EF"/>
      <rgbColor rgb="FFEEECE1"/>
      <rgbColor rgb="FFFFF5CE"/>
      <rgbColor rgb="FFBFBFBF"/>
      <rgbColor rgb="FFFFD7D7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0"/>
  <sheetViews>
    <sheetView tabSelected="1" zoomScaleNormal="100" workbookViewId="0">
      <selection activeCell="G59" sqref="G59"/>
    </sheetView>
  </sheetViews>
  <sheetFormatPr defaultColWidth="11.5703125" defaultRowHeight="15"/>
  <cols>
    <col min="1" max="1" width="19" customWidth="1"/>
    <col min="3" max="3" width="14.85546875" customWidth="1"/>
    <col min="4" max="4" width="16" customWidth="1"/>
    <col min="5" max="5" width="16.28515625" customWidth="1"/>
    <col min="6" max="6" width="17.5703125" customWidth="1"/>
    <col min="7" max="7" width="17" customWidth="1"/>
  </cols>
  <sheetData>
    <row r="1" spans="1:9" ht="23.85" customHeight="1">
      <c r="A1" s="98" t="s">
        <v>221</v>
      </c>
      <c r="B1" s="172" t="s">
        <v>164</v>
      </c>
      <c r="C1" s="172"/>
      <c r="D1" s="172"/>
      <c r="E1" s="172"/>
      <c r="F1" s="99" t="s">
        <v>165</v>
      </c>
      <c r="G1" s="100" t="s">
        <v>166</v>
      </c>
      <c r="H1" s="101"/>
      <c r="I1" s="101"/>
    </row>
    <row r="2" spans="1:9" ht="12.75" customHeight="1">
      <c r="A2" s="173">
        <v>1</v>
      </c>
      <c r="B2" s="174" t="s">
        <v>167</v>
      </c>
      <c r="C2" s="174"/>
      <c r="D2" s="174"/>
      <c r="E2" s="174"/>
      <c r="F2" s="175">
        <f>E62</f>
        <v>189904.79</v>
      </c>
      <c r="G2" s="176">
        <f>F2*12</f>
        <v>2278857.48</v>
      </c>
      <c r="H2" s="102"/>
      <c r="I2" s="102"/>
    </row>
    <row r="3" spans="1:9">
      <c r="A3" s="173"/>
      <c r="B3" s="174"/>
      <c r="C3" s="174"/>
      <c r="D3" s="174"/>
      <c r="E3" s="174"/>
      <c r="F3" s="175"/>
      <c r="G3" s="176"/>
      <c r="H3" s="102"/>
      <c r="I3" s="102"/>
    </row>
    <row r="4" spans="1:9">
      <c r="A4" s="173"/>
      <c r="B4" s="174"/>
      <c r="C4" s="174"/>
      <c r="D4" s="174"/>
      <c r="E4" s="174"/>
      <c r="F4" s="175"/>
      <c r="G4" s="176"/>
      <c r="H4" s="102"/>
      <c r="I4" s="102"/>
    </row>
    <row r="5" spans="1:9">
      <c r="A5" s="173"/>
      <c r="B5" s="174"/>
      <c r="C5" s="174"/>
      <c r="D5" s="174"/>
      <c r="E5" s="174"/>
      <c r="F5" s="175"/>
      <c r="G5" s="176"/>
      <c r="H5" s="102"/>
      <c r="I5" s="102"/>
    </row>
    <row r="6" spans="1:9">
      <c r="A6" s="103"/>
      <c r="B6" s="102"/>
      <c r="C6" s="102"/>
      <c r="D6" s="102"/>
      <c r="E6" s="102"/>
      <c r="F6" s="102"/>
      <c r="G6" s="102"/>
      <c r="H6" s="102"/>
      <c r="I6" s="102"/>
    </row>
    <row r="7" spans="1:9">
      <c r="A7" s="104" t="s">
        <v>168</v>
      </c>
      <c r="B7" s="102"/>
      <c r="C7" s="102"/>
      <c r="D7" s="102"/>
      <c r="E7" s="102"/>
      <c r="F7" s="102"/>
      <c r="G7" s="102"/>
      <c r="H7" s="102"/>
      <c r="I7" s="102"/>
    </row>
    <row r="8" spans="1:9">
      <c r="A8" s="103"/>
      <c r="B8" s="102"/>
      <c r="C8" s="102"/>
      <c r="D8" s="102"/>
      <c r="E8" s="102"/>
      <c r="F8" s="102"/>
      <c r="G8" s="102"/>
      <c r="H8" s="102"/>
      <c r="I8" s="102"/>
    </row>
    <row r="9" spans="1:9" ht="12.75" customHeight="1">
      <c r="A9" s="177" t="s">
        <v>169</v>
      </c>
      <c r="B9" s="177"/>
      <c r="C9" s="177"/>
      <c r="D9" s="177"/>
      <c r="E9" s="177"/>
      <c r="F9" s="102"/>
      <c r="G9" s="102"/>
      <c r="H9" s="102"/>
      <c r="I9" s="102"/>
    </row>
    <row r="10" spans="1:9" ht="35.1" customHeight="1">
      <c r="A10" s="178" t="s">
        <v>170</v>
      </c>
      <c r="B10" s="178"/>
      <c r="C10" s="105" t="s">
        <v>171</v>
      </c>
      <c r="D10" s="105" t="s">
        <v>172</v>
      </c>
      <c r="E10" s="105" t="s">
        <v>173</v>
      </c>
      <c r="F10" s="106" t="s">
        <v>174</v>
      </c>
      <c r="G10" s="102"/>
      <c r="H10" s="102"/>
      <c r="I10" s="102"/>
    </row>
    <row r="11" spans="1:9" ht="12.75" customHeight="1">
      <c r="A11" s="178" t="s">
        <v>175</v>
      </c>
      <c r="B11" s="178"/>
      <c r="C11" s="105" t="str">
        <f>"1/(30*"&amp;F11&amp;")"</f>
        <v>1/(30*1000)</v>
      </c>
      <c r="D11" s="107">
        <f>encarregado!I140</f>
        <v>7537.2732992648298</v>
      </c>
      <c r="E11" s="108">
        <f>TRUNC((D11/(F11*30)),2)</f>
        <v>0.25</v>
      </c>
      <c r="F11" s="106">
        <v>1000</v>
      </c>
      <c r="G11" s="102"/>
      <c r="H11" s="102"/>
      <c r="I11" s="102"/>
    </row>
    <row r="12" spans="1:9" ht="12.75" customHeight="1">
      <c r="A12" s="178" t="s">
        <v>176</v>
      </c>
      <c r="B12" s="178"/>
      <c r="C12" s="105" t="str">
        <f>"1/("&amp;F12&amp;")"</f>
        <v>1/(1000)</v>
      </c>
      <c r="D12" s="107">
        <f>'servente '!I140</f>
        <v>5591.070438934632</v>
      </c>
      <c r="E12" s="108">
        <f>TRUNC((D12/F12),2)</f>
        <v>5.59</v>
      </c>
      <c r="F12" s="106">
        <v>1000</v>
      </c>
      <c r="G12" s="102"/>
      <c r="H12" s="102"/>
      <c r="I12" s="102"/>
    </row>
    <row r="13" spans="1:9">
      <c r="A13" s="101"/>
      <c r="B13" s="102"/>
      <c r="C13" s="102"/>
      <c r="D13" s="109" t="s">
        <v>68</v>
      </c>
      <c r="E13" s="110">
        <f>SUM(E11:E12)</f>
        <v>5.84</v>
      </c>
      <c r="F13" s="106"/>
      <c r="G13" s="102"/>
      <c r="H13" s="102"/>
      <c r="I13" s="102"/>
    </row>
    <row r="14" spans="1:9">
      <c r="A14" s="101"/>
      <c r="B14" s="102"/>
      <c r="C14" s="102"/>
      <c r="D14" s="102"/>
      <c r="E14" s="102"/>
      <c r="F14" s="106"/>
      <c r="G14" s="102"/>
      <c r="H14" s="102"/>
      <c r="I14" s="102"/>
    </row>
    <row r="15" spans="1:9" ht="12.75" customHeight="1">
      <c r="A15" s="177" t="s">
        <v>177</v>
      </c>
      <c r="B15" s="177"/>
      <c r="C15" s="177"/>
      <c r="D15" s="177"/>
      <c r="E15" s="177"/>
      <c r="F15" s="106"/>
      <c r="G15" s="102"/>
      <c r="H15" s="102"/>
      <c r="I15" s="102"/>
    </row>
    <row r="16" spans="1:9" ht="35.1" customHeight="1">
      <c r="A16" s="178" t="s">
        <v>170</v>
      </c>
      <c r="B16" s="178"/>
      <c r="C16" s="105" t="s">
        <v>171</v>
      </c>
      <c r="D16" s="105" t="s">
        <v>172</v>
      </c>
      <c r="E16" s="105" t="s">
        <v>173</v>
      </c>
      <c r="F16" s="106" t="s">
        <v>174</v>
      </c>
      <c r="G16" s="102"/>
      <c r="H16" s="102"/>
      <c r="I16" s="102"/>
    </row>
    <row r="17" spans="1:9" ht="12.75" customHeight="1">
      <c r="A17" s="178" t="s">
        <v>175</v>
      </c>
      <c r="B17" s="178"/>
      <c r="C17" s="105" t="str">
        <f>"1/(30*"&amp;F17&amp;")"</f>
        <v>1/(30*200)</v>
      </c>
      <c r="D17" s="107">
        <f>D11</f>
        <v>7537.2732992648298</v>
      </c>
      <c r="E17" s="108">
        <f>TRUNC((D17/(F17*30)),2)</f>
        <v>1.25</v>
      </c>
      <c r="F17" s="106">
        <v>200</v>
      </c>
      <c r="G17" s="102"/>
      <c r="H17" s="102"/>
      <c r="I17" s="102"/>
    </row>
    <row r="18" spans="1:9" ht="12.75" customHeight="1">
      <c r="A18" s="178" t="s">
        <v>176</v>
      </c>
      <c r="B18" s="178"/>
      <c r="C18" s="105" t="str">
        <f>"1/("&amp;F18&amp;")"</f>
        <v>1/(200)</v>
      </c>
      <c r="D18" s="107">
        <f>D12</f>
        <v>5591.070438934632</v>
      </c>
      <c r="E18" s="108">
        <f>TRUNC((D18/F18),2)</f>
        <v>27.95</v>
      </c>
      <c r="F18" s="106">
        <v>200</v>
      </c>
      <c r="G18" s="102"/>
      <c r="H18" s="102"/>
      <c r="I18" s="102"/>
    </row>
    <row r="19" spans="1:9">
      <c r="A19" s="101"/>
      <c r="B19" s="102"/>
      <c r="C19" s="102"/>
      <c r="D19" s="109" t="s">
        <v>68</v>
      </c>
      <c r="E19" s="110">
        <f>SUM(E17:E18)</f>
        <v>29.2</v>
      </c>
      <c r="F19" s="106"/>
      <c r="G19" s="102"/>
      <c r="H19" s="102"/>
      <c r="I19" s="102"/>
    </row>
    <row r="20" spans="1:9">
      <c r="A20" s="101"/>
      <c r="B20" s="102"/>
      <c r="C20" s="102"/>
      <c r="D20" s="111"/>
      <c r="E20" s="112"/>
      <c r="F20" s="106"/>
      <c r="G20" s="102"/>
      <c r="H20" s="102"/>
      <c r="I20" s="102"/>
    </row>
    <row r="21" spans="1:9" ht="12.75" customHeight="1">
      <c r="A21" s="177" t="s">
        <v>178</v>
      </c>
      <c r="B21" s="177"/>
      <c r="C21" s="177"/>
      <c r="D21" s="177"/>
      <c r="E21" s="177"/>
      <c r="F21" s="106"/>
      <c r="G21" s="102"/>
      <c r="H21" s="102"/>
      <c r="I21" s="102"/>
    </row>
    <row r="22" spans="1:9" ht="35.1" customHeight="1">
      <c r="A22" s="178" t="s">
        <v>170</v>
      </c>
      <c r="B22" s="178"/>
      <c r="C22" s="105" t="s">
        <v>171</v>
      </c>
      <c r="D22" s="105" t="s">
        <v>172</v>
      </c>
      <c r="E22" s="105" t="s">
        <v>173</v>
      </c>
      <c r="F22" s="106" t="s">
        <v>174</v>
      </c>
      <c r="G22" s="102"/>
      <c r="H22" s="102"/>
      <c r="I22" s="102"/>
    </row>
    <row r="23" spans="1:9" ht="12.75" customHeight="1">
      <c r="A23" s="178" t="s">
        <v>175</v>
      </c>
      <c r="B23" s="178"/>
      <c r="C23" s="105" t="str">
        <f>"1/(30*"&amp;F23&amp;")"</f>
        <v>1/(30*1000)</v>
      </c>
      <c r="D23" s="107">
        <f>D17</f>
        <v>7537.2732992648298</v>
      </c>
      <c r="E23" s="108">
        <f>TRUNC((D23/(F23*30)),2)</f>
        <v>0.25</v>
      </c>
      <c r="F23" s="106">
        <v>1000</v>
      </c>
      <c r="G23" s="102"/>
      <c r="H23" s="102"/>
      <c r="I23" s="102"/>
    </row>
    <row r="24" spans="1:9" ht="12.75" customHeight="1">
      <c r="A24" s="178" t="s">
        <v>176</v>
      </c>
      <c r="B24" s="178"/>
      <c r="C24" s="105" t="str">
        <f>"1/("&amp;F24&amp;")"</f>
        <v>1/(1000)</v>
      </c>
      <c r="D24" s="107">
        <f>D18</f>
        <v>5591.070438934632</v>
      </c>
      <c r="E24" s="108">
        <f>TRUNC((D24/F24),2)</f>
        <v>5.59</v>
      </c>
      <c r="F24" s="106">
        <v>1000</v>
      </c>
      <c r="G24" s="102"/>
      <c r="H24" s="102"/>
      <c r="I24" s="102"/>
    </row>
    <row r="25" spans="1:9">
      <c r="A25" s="101"/>
      <c r="B25" s="102"/>
      <c r="C25" s="102"/>
      <c r="D25" s="109" t="s">
        <v>68</v>
      </c>
      <c r="E25" s="110">
        <f>SUM(E23:E24)</f>
        <v>5.84</v>
      </c>
      <c r="F25" s="106"/>
      <c r="G25" s="102"/>
      <c r="H25" s="102"/>
      <c r="I25" s="102"/>
    </row>
    <row r="26" spans="1:9">
      <c r="A26" s="101"/>
      <c r="B26" s="102"/>
      <c r="C26" s="102"/>
      <c r="D26" s="111"/>
      <c r="E26" s="112"/>
      <c r="F26" s="106"/>
      <c r="G26" s="102"/>
      <c r="H26" s="102"/>
      <c r="I26" s="102"/>
    </row>
    <row r="27" spans="1:9" ht="23.85" customHeight="1">
      <c r="A27" s="177" t="s">
        <v>179</v>
      </c>
      <c r="B27" s="177"/>
      <c r="C27" s="177"/>
      <c r="D27" s="177"/>
      <c r="E27" s="177"/>
      <c r="F27" s="106"/>
      <c r="G27" s="102"/>
      <c r="H27" s="102"/>
      <c r="I27" s="102"/>
    </row>
    <row r="28" spans="1:9" ht="35.1" customHeight="1">
      <c r="A28" s="178" t="s">
        <v>170</v>
      </c>
      <c r="B28" s="178"/>
      <c r="C28" s="105" t="s">
        <v>171</v>
      </c>
      <c r="D28" s="105" t="s">
        <v>172</v>
      </c>
      <c r="E28" s="105" t="s">
        <v>173</v>
      </c>
      <c r="F28" s="106" t="s">
        <v>174</v>
      </c>
      <c r="G28" s="102"/>
      <c r="H28" s="102"/>
      <c r="I28" s="102"/>
    </row>
    <row r="29" spans="1:9" ht="12.75" customHeight="1">
      <c r="A29" s="178" t="s">
        <v>175</v>
      </c>
      <c r="B29" s="178"/>
      <c r="C29" s="105" t="str">
        <f>"1/(30*"&amp;F29&amp;")"</f>
        <v>1/(30*2700)</v>
      </c>
      <c r="D29" s="107">
        <f>D23</f>
        <v>7537.2732992648298</v>
      </c>
      <c r="E29" s="108">
        <f>TRUNC((D29/(F29*30)),2)</f>
        <v>0.09</v>
      </c>
      <c r="F29" s="106">
        <v>2700</v>
      </c>
      <c r="G29" s="102"/>
      <c r="H29" s="102"/>
      <c r="I29" s="102"/>
    </row>
    <row r="30" spans="1:9" ht="12.75" customHeight="1">
      <c r="A30" s="178" t="s">
        <v>176</v>
      </c>
      <c r="B30" s="178"/>
      <c r="C30" s="105" t="str">
        <f>"1/("&amp;F30&amp;")"</f>
        <v>1/(2700)</v>
      </c>
      <c r="D30" s="107">
        <f>D24</f>
        <v>5591.070438934632</v>
      </c>
      <c r="E30" s="108">
        <f>TRUNC((D30/F30),2)</f>
        <v>2.0699999999999998</v>
      </c>
      <c r="F30" s="106">
        <v>2700</v>
      </c>
      <c r="G30" s="102"/>
      <c r="H30" s="102"/>
      <c r="I30" s="102"/>
    </row>
    <row r="31" spans="1:9">
      <c r="A31" s="101"/>
      <c r="B31" s="102"/>
      <c r="C31" s="102"/>
      <c r="D31" s="109" t="s">
        <v>68</v>
      </c>
      <c r="E31" s="110">
        <f>SUM(E29:E30)</f>
        <v>2.1599999999999997</v>
      </c>
      <c r="F31" s="106"/>
      <c r="G31" s="102"/>
      <c r="H31" s="102"/>
      <c r="I31" s="102"/>
    </row>
    <row r="32" spans="1:9">
      <c r="A32" s="101"/>
      <c r="B32" s="102"/>
      <c r="C32" s="102"/>
      <c r="D32" s="111"/>
      <c r="E32" s="113"/>
      <c r="F32" s="102"/>
      <c r="G32" s="102"/>
      <c r="H32" s="102"/>
      <c r="I32" s="102"/>
    </row>
    <row r="33" spans="1:9" ht="12.75" customHeight="1">
      <c r="A33" s="177" t="s">
        <v>180</v>
      </c>
      <c r="B33" s="177"/>
      <c r="C33" s="177"/>
      <c r="D33" s="177"/>
      <c r="E33" s="177"/>
      <c r="F33" s="177"/>
      <c r="G33" s="177"/>
      <c r="H33" s="177"/>
      <c r="I33" s="106"/>
    </row>
    <row r="34" spans="1:9" ht="35.1" customHeight="1">
      <c r="A34" s="178" t="s">
        <v>170</v>
      </c>
      <c r="B34" s="178"/>
      <c r="C34" s="105" t="s">
        <v>171</v>
      </c>
      <c r="D34" s="105" t="s">
        <v>181</v>
      </c>
      <c r="E34" s="105" t="s">
        <v>182</v>
      </c>
      <c r="F34" s="105" t="s">
        <v>183</v>
      </c>
      <c r="G34" s="105" t="s">
        <v>184</v>
      </c>
      <c r="H34" s="105" t="s">
        <v>185</v>
      </c>
      <c r="I34" s="106" t="s">
        <v>174</v>
      </c>
    </row>
    <row r="35" spans="1:9" ht="12.75" customHeight="1">
      <c r="A35" s="178" t="s">
        <v>175</v>
      </c>
      <c r="B35" s="178"/>
      <c r="C35" s="105" t="str">
        <f>"1/(30*"&amp;I35&amp;")"</f>
        <v>1/(30*300)</v>
      </c>
      <c r="D35" s="114">
        <v>16</v>
      </c>
      <c r="E35" s="115" t="s">
        <v>186</v>
      </c>
      <c r="F35" s="116">
        <f>1/(30*I35)*D35*1/191.4</f>
        <v>9.2882851503541159E-6</v>
      </c>
      <c r="G35" s="107">
        <f>D29</f>
        <v>7537.2732992648298</v>
      </c>
      <c r="H35" s="108">
        <f>G35*F35</f>
        <v>7.0008343659722097E-2</v>
      </c>
      <c r="I35" s="106">
        <v>300</v>
      </c>
    </row>
    <row r="36" spans="1:9" ht="12.75" customHeight="1">
      <c r="A36" s="178" t="s">
        <v>176</v>
      </c>
      <c r="B36" s="178"/>
      <c r="C36" s="105" t="str">
        <f>"1/("&amp;I36&amp;")"</f>
        <v>1/(300)</v>
      </c>
      <c r="D36" s="114">
        <v>16</v>
      </c>
      <c r="E36" s="115" t="s">
        <v>186</v>
      </c>
      <c r="F36" s="116">
        <f>1/(I36)*D36*1/191.4</f>
        <v>2.786485545106235E-4</v>
      </c>
      <c r="G36" s="107">
        <f>D30</f>
        <v>5591.070438934632</v>
      </c>
      <c r="H36" s="108">
        <f>G36*F36</f>
        <v>1.5579436959762125</v>
      </c>
      <c r="I36" s="106">
        <v>300</v>
      </c>
    </row>
    <row r="37" spans="1:9">
      <c r="A37" s="101"/>
      <c r="B37" s="102"/>
      <c r="C37" s="102"/>
      <c r="D37" s="109" t="s">
        <v>68</v>
      </c>
      <c r="E37" s="110">
        <f>SUM(E35:E36)</f>
        <v>0</v>
      </c>
      <c r="F37" s="109" t="s">
        <v>68</v>
      </c>
      <c r="G37" s="110">
        <f>SUM(G35:G36)</f>
        <v>13128.343738199463</v>
      </c>
      <c r="H37" s="110">
        <f>SUM(H35:H36)</f>
        <v>1.6279520396359346</v>
      </c>
      <c r="I37" s="106"/>
    </row>
    <row r="38" spans="1:9">
      <c r="A38" s="101"/>
      <c r="B38" s="102"/>
      <c r="C38" s="102"/>
      <c r="D38" s="111"/>
      <c r="E38" s="113"/>
      <c r="F38" s="102"/>
      <c r="G38" s="102"/>
      <c r="H38" s="102"/>
      <c r="I38" s="106"/>
    </row>
    <row r="39" spans="1:9" ht="12.75" customHeight="1">
      <c r="A39" s="179" t="s">
        <v>187</v>
      </c>
      <c r="B39" s="179"/>
      <c r="C39" s="179"/>
      <c r="D39" s="179"/>
      <c r="E39" s="179"/>
      <c r="F39" s="179"/>
      <c r="G39" s="179"/>
      <c r="H39" s="179"/>
      <c r="I39" s="106"/>
    </row>
    <row r="40" spans="1:9" ht="35.1" customHeight="1">
      <c r="A40" s="178" t="s">
        <v>170</v>
      </c>
      <c r="B40" s="178"/>
      <c r="C40" s="105" t="s">
        <v>171</v>
      </c>
      <c r="D40" s="105" t="s">
        <v>181</v>
      </c>
      <c r="E40" s="105" t="s">
        <v>182</v>
      </c>
      <c r="F40" s="105" t="s">
        <v>183</v>
      </c>
      <c r="G40" s="105" t="s">
        <v>184</v>
      </c>
      <c r="H40" s="105" t="s">
        <v>185</v>
      </c>
      <c r="I40" s="106" t="s">
        <v>174</v>
      </c>
    </row>
    <row r="41" spans="1:9" ht="12.75" customHeight="1">
      <c r="A41" s="178" t="s">
        <v>175</v>
      </c>
      <c r="B41" s="178"/>
      <c r="C41" s="105" t="str">
        <f>"1/(4*"&amp;I41&amp;")"</f>
        <v>1/(4*130)</v>
      </c>
      <c r="D41" s="114">
        <v>8</v>
      </c>
      <c r="E41" s="115" t="s">
        <v>188</v>
      </c>
      <c r="F41" s="116">
        <f>1/(30*I41)*D41*1/1148.4</f>
        <v>1.7862086827604068E-6</v>
      </c>
      <c r="G41" s="107">
        <f>G35</f>
        <v>7537.2732992648298</v>
      </c>
      <c r="H41" s="108">
        <f>G41*F41</f>
        <v>1.3463143011485016E-2</v>
      </c>
      <c r="I41" s="106">
        <v>130</v>
      </c>
    </row>
    <row r="42" spans="1:9" ht="12.75" customHeight="1">
      <c r="A42" s="178" t="s">
        <v>176</v>
      </c>
      <c r="B42" s="178"/>
      <c r="C42" s="105" t="str">
        <f>"1/("&amp;I42&amp;")"</f>
        <v>1/(130)</v>
      </c>
      <c r="D42" s="114">
        <v>8</v>
      </c>
      <c r="E42" s="115" t="s">
        <v>188</v>
      </c>
      <c r="F42" s="116">
        <f>1/(I42)*D42*1/1148.4</f>
        <v>5.3586260482812205E-5</v>
      </c>
      <c r="G42" s="107">
        <f>G36</f>
        <v>5591.070438934632</v>
      </c>
      <c r="H42" s="108">
        <f>G42*F42</f>
        <v>0.29960455691850235</v>
      </c>
      <c r="I42" s="106">
        <v>130</v>
      </c>
    </row>
    <row r="43" spans="1:9">
      <c r="A43" s="101"/>
      <c r="B43" s="102"/>
      <c r="C43" s="102"/>
      <c r="D43" s="109" t="s">
        <v>68</v>
      </c>
      <c r="E43" s="110">
        <f>SUM(E41:E42)</f>
        <v>0</v>
      </c>
      <c r="F43" s="109" t="s">
        <v>68</v>
      </c>
      <c r="G43" s="110">
        <f>SUM(G41:G42)</f>
        <v>13128.343738199463</v>
      </c>
      <c r="H43" s="110">
        <f>SUM(H41:H42)</f>
        <v>0.31306769992998734</v>
      </c>
      <c r="I43" s="106"/>
    </row>
    <row r="44" spans="1:9">
      <c r="A44" s="101"/>
      <c r="B44" s="102"/>
      <c r="C44" s="102"/>
      <c r="D44" s="111"/>
      <c r="E44" s="113"/>
      <c r="F44" s="102"/>
      <c r="G44" s="102"/>
      <c r="H44" s="102"/>
      <c r="I44" s="106"/>
    </row>
    <row r="45" spans="1:9">
      <c r="A45" s="101"/>
      <c r="B45" s="102"/>
      <c r="C45" s="102"/>
      <c r="D45" s="111"/>
      <c r="E45" s="112"/>
      <c r="F45" s="102"/>
      <c r="G45" s="102"/>
      <c r="H45" s="102"/>
      <c r="I45" s="102"/>
    </row>
    <row r="46" spans="1:9" ht="12.75" customHeight="1">
      <c r="A46" s="179" t="s">
        <v>189</v>
      </c>
      <c r="B46" s="179"/>
      <c r="C46" s="179"/>
      <c r="D46" s="179"/>
      <c r="E46" s="179"/>
      <c r="F46" s="179"/>
      <c r="G46" s="179"/>
      <c r="H46" s="180" t="s">
        <v>190</v>
      </c>
      <c r="I46" s="102"/>
    </row>
    <row r="47" spans="1:9" ht="23.85" customHeight="1">
      <c r="A47" s="178" t="s">
        <v>191</v>
      </c>
      <c r="B47" s="178"/>
      <c r="C47" s="178"/>
      <c r="D47" s="178"/>
      <c r="E47" s="105" t="s">
        <v>192</v>
      </c>
      <c r="F47" s="105" t="s">
        <v>193</v>
      </c>
      <c r="G47" s="105" t="s">
        <v>194</v>
      </c>
      <c r="H47" s="180"/>
      <c r="I47" s="102"/>
    </row>
    <row r="48" spans="1:9" ht="12.75" customHeight="1">
      <c r="A48" s="181" t="s">
        <v>195</v>
      </c>
      <c r="B48" s="181"/>
      <c r="C48" s="181"/>
      <c r="D48" s="181"/>
      <c r="E48" s="117">
        <f>E13</f>
        <v>5.84</v>
      </c>
      <c r="F48" s="118">
        <v>14217.89</v>
      </c>
      <c r="G48" s="119">
        <f t="shared" ref="G48:G53" si="0">ROUND(F48*E48,2)</f>
        <v>83032.479999999996</v>
      </c>
      <c r="H48" s="120">
        <f>+(F48/F12)</f>
        <v>14.217889999999999</v>
      </c>
      <c r="I48" s="121"/>
    </row>
    <row r="49" spans="1:9" ht="12.75" customHeight="1">
      <c r="A49" s="181" t="s">
        <v>196</v>
      </c>
      <c r="B49" s="181"/>
      <c r="C49" s="181"/>
      <c r="D49" s="181"/>
      <c r="E49" s="117">
        <f>E19</f>
        <v>29.2</v>
      </c>
      <c r="F49" s="118">
        <v>1087.23</v>
      </c>
      <c r="G49" s="119">
        <f t="shared" si="0"/>
        <v>31747.119999999999</v>
      </c>
      <c r="H49" s="120">
        <f>+F49/F18</f>
        <v>5.4361500000000005</v>
      </c>
      <c r="I49" s="121"/>
    </row>
    <row r="50" spans="1:9" ht="12.75" customHeight="1">
      <c r="A50" s="181" t="s">
        <v>197</v>
      </c>
      <c r="B50" s="181"/>
      <c r="C50" s="181"/>
      <c r="D50" s="181"/>
      <c r="E50" s="117">
        <f>E25</f>
        <v>5.84</v>
      </c>
      <c r="F50" s="118">
        <v>9097.9599999999991</v>
      </c>
      <c r="G50" s="119">
        <f t="shared" si="0"/>
        <v>53132.09</v>
      </c>
      <c r="H50" s="120">
        <f>+F50/F24</f>
        <v>9.0979599999999987</v>
      </c>
      <c r="I50" s="121"/>
    </row>
    <row r="51" spans="1:9" ht="23.85" customHeight="1">
      <c r="A51" s="181" t="s">
        <v>198</v>
      </c>
      <c r="B51" s="181"/>
      <c r="C51" s="181"/>
      <c r="D51" s="181"/>
      <c r="E51" s="117">
        <f>E31</f>
        <v>2.1599999999999997</v>
      </c>
      <c r="F51" s="118">
        <v>8800</v>
      </c>
      <c r="G51" s="119">
        <f t="shared" si="0"/>
        <v>19008</v>
      </c>
      <c r="H51" s="120">
        <f>+F51/F30</f>
        <v>3.2592592592592591</v>
      </c>
      <c r="I51" s="121"/>
    </row>
    <row r="52" spans="1:9" ht="12.75" customHeight="1">
      <c r="A52" s="181" t="s">
        <v>199</v>
      </c>
      <c r="B52" s="181"/>
      <c r="C52" s="181"/>
      <c r="D52" s="181"/>
      <c r="E52" s="117">
        <f>H37</f>
        <v>1.6279520396359346</v>
      </c>
      <c r="F52" s="118">
        <v>477.24</v>
      </c>
      <c r="G52" s="119">
        <f t="shared" si="0"/>
        <v>776.92</v>
      </c>
      <c r="H52" s="120">
        <f>+F52*F36</f>
        <v>0.13298223615464996</v>
      </c>
      <c r="I52" s="121"/>
    </row>
    <row r="53" spans="1:9" ht="12.75" customHeight="1">
      <c r="A53" s="181" t="s">
        <v>200</v>
      </c>
      <c r="B53" s="181"/>
      <c r="C53" s="181"/>
      <c r="D53" s="181"/>
      <c r="E53" s="117">
        <f>H43</f>
        <v>0.31306769992998734</v>
      </c>
      <c r="F53" s="118">
        <v>7053.35</v>
      </c>
      <c r="G53" s="119">
        <f t="shared" si="0"/>
        <v>2208.1799999999998</v>
      </c>
      <c r="H53" s="120">
        <f>+F53*F42</f>
        <v>0.3779626503764435</v>
      </c>
      <c r="I53" s="102"/>
    </row>
    <row r="54" spans="1:9" ht="12.75" customHeight="1">
      <c r="A54" s="182" t="s">
        <v>201</v>
      </c>
      <c r="B54" s="182"/>
      <c r="C54" s="182"/>
      <c r="D54" s="182"/>
      <c r="E54" s="182"/>
      <c r="F54" s="182"/>
      <c r="G54" s="122">
        <f>TRUNC(SUM(G48:G53),2)</f>
        <v>189904.79</v>
      </c>
      <c r="H54" s="123">
        <f>ROUND(SUM(H48:H53),0)</f>
        <v>33</v>
      </c>
      <c r="I54" s="102" t="s">
        <v>202</v>
      </c>
    </row>
    <row r="55" spans="1:9">
      <c r="A55" s="101"/>
      <c r="B55" s="102"/>
      <c r="C55" s="102"/>
      <c r="D55" s="102"/>
      <c r="E55" s="102"/>
      <c r="F55" s="102"/>
      <c r="G55" s="102"/>
      <c r="H55" s="123">
        <v>1</v>
      </c>
      <c r="I55" s="102" t="s">
        <v>175</v>
      </c>
    </row>
    <row r="56" spans="1:9" ht="12.75" customHeight="1">
      <c r="A56" s="179" t="s">
        <v>203</v>
      </c>
      <c r="B56" s="179"/>
      <c r="C56" s="179"/>
      <c r="D56" s="179"/>
      <c r="E56" s="179"/>
      <c r="F56" s="179"/>
      <c r="G56" s="102"/>
      <c r="H56" s="123">
        <f>+H55+H54</f>
        <v>34</v>
      </c>
      <c r="I56" s="102" t="s">
        <v>204</v>
      </c>
    </row>
    <row r="57" spans="1:9" ht="26.85" customHeight="1">
      <c r="A57" s="183" t="s">
        <v>205</v>
      </c>
      <c r="B57" s="183"/>
      <c r="C57" s="124" t="s">
        <v>206</v>
      </c>
      <c r="D57" s="125" t="s">
        <v>207</v>
      </c>
      <c r="E57" s="124" t="s">
        <v>208</v>
      </c>
      <c r="F57" s="124" t="s">
        <v>209</v>
      </c>
      <c r="G57" s="102"/>
      <c r="H57" s="102"/>
      <c r="I57" s="102"/>
    </row>
    <row r="58" spans="1:9">
      <c r="A58" s="178">
        <v>1</v>
      </c>
      <c r="B58" s="178"/>
      <c r="C58" s="105" t="s">
        <v>210</v>
      </c>
      <c r="D58" s="114">
        <f>F48+F49+F50</f>
        <v>24403.079999999998</v>
      </c>
      <c r="E58" s="108">
        <f>SUM(G48:G50)</f>
        <v>167911.69</v>
      </c>
      <c r="F58" s="126">
        <f>E58*12</f>
        <v>2014940.28</v>
      </c>
      <c r="G58" s="127"/>
      <c r="H58" s="184"/>
      <c r="I58" s="102"/>
    </row>
    <row r="59" spans="1:9">
      <c r="A59" s="178">
        <v>2</v>
      </c>
      <c r="B59" s="178"/>
      <c r="C59" s="105" t="s">
        <v>211</v>
      </c>
      <c r="D59" s="114">
        <f t="shared" ref="D59:E61" si="1">F51</f>
        <v>8800</v>
      </c>
      <c r="E59" s="108">
        <f t="shared" si="1"/>
        <v>19008</v>
      </c>
      <c r="F59" s="126">
        <f>E59*12</f>
        <v>228096</v>
      </c>
      <c r="G59" s="127"/>
      <c r="H59" s="184"/>
      <c r="I59" s="102"/>
    </row>
    <row r="60" spans="1:9">
      <c r="A60" s="178">
        <v>3</v>
      </c>
      <c r="B60" s="178"/>
      <c r="C60" s="105" t="s">
        <v>212</v>
      </c>
      <c r="D60" s="114">
        <f t="shared" si="1"/>
        <v>477.24</v>
      </c>
      <c r="E60" s="108">
        <f t="shared" si="1"/>
        <v>776.92</v>
      </c>
      <c r="F60" s="126">
        <f>E60*12</f>
        <v>9323.0399999999991</v>
      </c>
      <c r="G60" s="127"/>
      <c r="H60" s="184"/>
      <c r="I60" s="102"/>
    </row>
    <row r="61" spans="1:9" ht="25.5">
      <c r="A61" s="178">
        <v>4</v>
      </c>
      <c r="B61" s="178"/>
      <c r="C61" s="105" t="s">
        <v>213</v>
      </c>
      <c r="D61" s="114">
        <f t="shared" si="1"/>
        <v>7053.35</v>
      </c>
      <c r="E61" s="108">
        <f t="shared" si="1"/>
        <v>2208.1799999999998</v>
      </c>
      <c r="F61" s="126">
        <f>E61*12</f>
        <v>26498.159999999996</v>
      </c>
      <c r="G61" s="127"/>
      <c r="H61" s="128"/>
      <c r="I61" s="102"/>
    </row>
    <row r="62" spans="1:9" ht="12.75" customHeight="1">
      <c r="A62" s="185" t="s">
        <v>214</v>
      </c>
      <c r="B62" s="185"/>
      <c r="C62" s="185"/>
      <c r="D62" s="129">
        <f>SUM(D58:D60)</f>
        <v>33680.32</v>
      </c>
      <c r="E62" s="130">
        <f>SUM(E58:E61)</f>
        <v>189904.79</v>
      </c>
      <c r="F62" s="131">
        <f>SUM(F58:F61)</f>
        <v>2278857.4800000004</v>
      </c>
      <c r="G62" s="101"/>
      <c r="H62" s="132"/>
      <c r="I62" s="102"/>
    </row>
    <row r="63" spans="1:9">
      <c r="A63" s="101"/>
      <c r="B63" s="102"/>
      <c r="C63" s="102"/>
      <c r="D63" s="102"/>
      <c r="E63" s="102"/>
      <c r="F63" s="102"/>
      <c r="G63" s="133"/>
      <c r="H63" s="102"/>
      <c r="I63" s="102"/>
    </row>
    <row r="64" spans="1:9">
      <c r="A64" s="101"/>
      <c r="B64" s="102"/>
      <c r="C64" s="102"/>
      <c r="D64" s="102"/>
      <c r="E64" s="102"/>
      <c r="F64" s="102"/>
      <c r="G64" s="102"/>
      <c r="H64" s="102"/>
      <c r="I64" s="102"/>
    </row>
    <row r="65" spans="1:9">
      <c r="A65" s="101"/>
      <c r="B65" s="102"/>
      <c r="C65" s="102"/>
      <c r="D65" s="102"/>
      <c r="E65" s="102"/>
      <c r="F65" s="102"/>
      <c r="G65" s="102"/>
      <c r="H65" s="102"/>
      <c r="I65" s="102"/>
    </row>
    <row r="66" spans="1:9">
      <c r="A66" s="101"/>
      <c r="B66" s="102"/>
      <c r="C66" s="102"/>
      <c r="D66" s="134"/>
      <c r="E66" s="102"/>
      <c r="F66" s="102"/>
      <c r="G66" s="102"/>
      <c r="H66" s="102"/>
      <c r="I66" s="102"/>
    </row>
    <row r="67" spans="1:9">
      <c r="A67" s="101"/>
      <c r="B67" s="102"/>
      <c r="C67" s="102"/>
      <c r="D67" s="102"/>
      <c r="E67" s="102"/>
      <c r="F67" s="102"/>
      <c r="G67" s="102"/>
      <c r="H67" s="102"/>
      <c r="I67" s="102"/>
    </row>
    <row r="68" spans="1:9" ht="12.75" customHeight="1">
      <c r="A68" s="178" t="s">
        <v>215</v>
      </c>
      <c r="B68" s="178"/>
      <c r="C68" s="178"/>
      <c r="D68" s="178"/>
      <c r="E68" s="180" t="s">
        <v>216</v>
      </c>
      <c r="F68" s="180" t="s">
        <v>217</v>
      </c>
      <c r="G68" s="102"/>
      <c r="H68" s="102"/>
      <c r="I68" s="102"/>
    </row>
    <row r="69" spans="1:9">
      <c r="A69" s="178"/>
      <c r="B69" s="178"/>
      <c r="C69" s="178"/>
      <c r="D69" s="178"/>
      <c r="E69" s="180"/>
      <c r="F69" s="180"/>
      <c r="G69" s="102"/>
      <c r="H69" s="102"/>
      <c r="I69" s="102"/>
    </row>
    <row r="70" spans="1:9" ht="12.75" customHeight="1">
      <c r="A70" s="181" t="s">
        <v>195</v>
      </c>
      <c r="B70" s="181"/>
      <c r="C70" s="181"/>
      <c r="D70" s="181"/>
      <c r="E70" s="120">
        <f t="shared" ref="E70:E75" si="2">H48</f>
        <v>14.217889999999999</v>
      </c>
      <c r="F70" s="183" t="s">
        <v>218</v>
      </c>
      <c r="G70" s="102"/>
      <c r="H70" s="102"/>
      <c r="I70" s="102"/>
    </row>
    <row r="71" spans="1:9" ht="12.75" customHeight="1">
      <c r="A71" s="181" t="s">
        <v>196</v>
      </c>
      <c r="B71" s="181"/>
      <c r="C71" s="181"/>
      <c r="D71" s="181"/>
      <c r="E71" s="120">
        <f t="shared" si="2"/>
        <v>5.4361500000000005</v>
      </c>
      <c r="F71" s="183"/>
      <c r="G71" s="102"/>
      <c r="H71" s="102"/>
      <c r="I71" s="102"/>
    </row>
    <row r="72" spans="1:9" ht="12.75" customHeight="1">
      <c r="A72" s="181" t="s">
        <v>197</v>
      </c>
      <c r="B72" s="181"/>
      <c r="C72" s="181"/>
      <c r="D72" s="181"/>
      <c r="E72" s="120">
        <f t="shared" si="2"/>
        <v>9.0979599999999987</v>
      </c>
      <c r="F72" s="183"/>
      <c r="G72" s="102"/>
      <c r="H72" s="102"/>
      <c r="I72" s="102"/>
    </row>
    <row r="73" spans="1:9" ht="23.85" customHeight="1">
      <c r="A73" s="181" t="s">
        <v>198</v>
      </c>
      <c r="B73" s="181"/>
      <c r="C73" s="181"/>
      <c r="D73" s="181"/>
      <c r="E73" s="120">
        <f t="shared" si="2"/>
        <v>3.2592592592592591</v>
      </c>
      <c r="F73" s="183"/>
      <c r="G73" s="102"/>
      <c r="H73" s="102"/>
      <c r="I73" s="102"/>
    </row>
    <row r="74" spans="1:9" ht="12.75" customHeight="1">
      <c r="A74" s="181" t="s">
        <v>219</v>
      </c>
      <c r="B74" s="181"/>
      <c r="C74" s="181"/>
      <c r="D74" s="181"/>
      <c r="E74" s="120">
        <f t="shared" si="2"/>
        <v>0.13298223615464996</v>
      </c>
      <c r="F74" s="183"/>
      <c r="G74" s="102"/>
      <c r="H74" s="102"/>
      <c r="I74" s="102"/>
    </row>
    <row r="75" spans="1:9" ht="12.75" customHeight="1">
      <c r="A75" s="181" t="s">
        <v>200</v>
      </c>
      <c r="B75" s="181"/>
      <c r="C75" s="181"/>
      <c r="D75" s="181"/>
      <c r="E75" s="120">
        <f t="shared" si="2"/>
        <v>0.3779626503764435</v>
      </c>
      <c r="F75" s="183"/>
      <c r="G75" s="102"/>
      <c r="H75" s="102"/>
      <c r="I75" s="102"/>
    </row>
    <row r="76" spans="1:9">
      <c r="A76" s="101"/>
      <c r="B76" s="102"/>
      <c r="C76" s="102"/>
      <c r="D76" s="102"/>
      <c r="E76" s="102"/>
      <c r="F76" s="102"/>
      <c r="G76" s="102"/>
      <c r="H76" s="102"/>
      <c r="I76" s="102"/>
    </row>
    <row r="77" spans="1:9">
      <c r="A77" s="101"/>
      <c r="B77" s="102"/>
      <c r="C77" s="102"/>
      <c r="D77" s="102"/>
      <c r="E77" s="102"/>
      <c r="F77" s="102"/>
      <c r="G77" s="102"/>
      <c r="H77" s="102"/>
      <c r="I77" s="102"/>
    </row>
    <row r="78" spans="1:9">
      <c r="A78" s="101"/>
      <c r="B78" s="102"/>
      <c r="C78" s="102"/>
      <c r="D78" s="102"/>
      <c r="E78" s="102"/>
      <c r="F78" s="102"/>
      <c r="G78" s="102"/>
      <c r="H78" s="102"/>
      <c r="I78" s="102"/>
    </row>
    <row r="79" spans="1:9">
      <c r="A79" s="101"/>
      <c r="B79" s="102"/>
      <c r="C79" s="102"/>
      <c r="D79" s="102"/>
      <c r="E79" s="102"/>
      <c r="F79" s="102"/>
      <c r="G79" s="102"/>
      <c r="H79" s="102"/>
      <c r="I79" s="102"/>
    </row>
    <row r="80" spans="1:9">
      <c r="A80" s="101"/>
      <c r="B80" s="102"/>
      <c r="C80" s="102"/>
      <c r="D80" s="102"/>
      <c r="E80" s="102"/>
      <c r="F80" s="102"/>
      <c r="G80" s="102"/>
      <c r="H80" s="102"/>
      <c r="I80" s="102"/>
    </row>
  </sheetData>
  <mergeCells count="57">
    <mergeCell ref="A68:D69"/>
    <mergeCell ref="E68:E69"/>
    <mergeCell ref="F68:F69"/>
    <mergeCell ref="A70:D70"/>
    <mergeCell ref="F70:F75"/>
    <mergeCell ref="A71:D71"/>
    <mergeCell ref="A72:D72"/>
    <mergeCell ref="A73:D73"/>
    <mergeCell ref="A74:D74"/>
    <mergeCell ref="A75:D75"/>
    <mergeCell ref="H58:H60"/>
    <mergeCell ref="A59:B59"/>
    <mergeCell ref="A60:B60"/>
    <mergeCell ref="A61:B61"/>
    <mergeCell ref="A62:C62"/>
    <mergeCell ref="A53:D53"/>
    <mergeCell ref="A54:F54"/>
    <mergeCell ref="A56:F56"/>
    <mergeCell ref="A57:B57"/>
    <mergeCell ref="A58:B58"/>
    <mergeCell ref="A48:D48"/>
    <mergeCell ref="A49:D49"/>
    <mergeCell ref="A50:D50"/>
    <mergeCell ref="A51:D51"/>
    <mergeCell ref="A52:D52"/>
    <mergeCell ref="A39:H39"/>
    <mergeCell ref="A40:B40"/>
    <mergeCell ref="A41:B41"/>
    <mergeCell ref="A42:B42"/>
    <mergeCell ref="A46:G46"/>
    <mergeCell ref="H46:H47"/>
    <mergeCell ref="A47:D47"/>
    <mergeCell ref="A30:B30"/>
    <mergeCell ref="A33:H33"/>
    <mergeCell ref="A34:B34"/>
    <mergeCell ref="A35:B35"/>
    <mergeCell ref="A36:B36"/>
    <mergeCell ref="A23:B23"/>
    <mergeCell ref="A24:B24"/>
    <mergeCell ref="A27:E27"/>
    <mergeCell ref="A28:B28"/>
    <mergeCell ref="A29:B29"/>
    <mergeCell ref="A16:B16"/>
    <mergeCell ref="A17:B17"/>
    <mergeCell ref="A18:B18"/>
    <mergeCell ref="A21:E21"/>
    <mergeCell ref="A22:B22"/>
    <mergeCell ref="A9:E9"/>
    <mergeCell ref="A10:B10"/>
    <mergeCell ref="A11:B11"/>
    <mergeCell ref="A12:B12"/>
    <mergeCell ref="A15:E15"/>
    <mergeCell ref="B1:E1"/>
    <mergeCell ref="A2:A5"/>
    <mergeCell ref="B2:E5"/>
    <mergeCell ref="F2:F5"/>
    <mergeCell ref="G2:G5"/>
  </mergeCells>
  <pageMargins left="0.78749999999999998" right="0.78749999999999998" top="1.05277777777778" bottom="1.05277777777778" header="0.78749999999999998" footer="0.78749999999999998"/>
  <pageSetup paperSize="9" scale="60" orientation="portrait" horizontalDpi="300" verticalDpi="300"/>
  <headerFooter>
    <oddHeader>&amp;C&amp;"Times New Roman,Normal"&amp;12&amp;Kffffff&amp;A</oddHeader>
    <oddFooter>&amp;C&amp;"Times New Roman,Normal"&amp;12&amp;KffffffPágina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1"/>
  <sheetViews>
    <sheetView topLeftCell="A133" zoomScaleNormal="100" workbookViewId="0">
      <selection activeCell="D144" sqref="D144"/>
    </sheetView>
  </sheetViews>
  <sheetFormatPr defaultColWidth="8.7109375" defaultRowHeight="15"/>
  <cols>
    <col min="2" max="2" width="10.140625" customWidth="1"/>
    <col min="3" max="3" width="15.140625" customWidth="1"/>
    <col min="6" max="6" width="10.42578125" customWidth="1"/>
    <col min="8" max="8" width="9.140625" customWidth="1"/>
    <col min="10" max="10" width="18.42578125" customWidth="1"/>
  </cols>
  <sheetData>
    <row r="1" spans="1:10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>
      <c r="A2" s="3"/>
      <c r="B2" s="4" t="s">
        <v>338</v>
      </c>
      <c r="C2" s="5"/>
      <c r="D2" s="6"/>
      <c r="E2" s="187"/>
      <c r="F2" s="187"/>
      <c r="G2" s="187"/>
      <c r="H2" s="187"/>
      <c r="I2" s="187"/>
      <c r="J2" s="7"/>
    </row>
    <row r="3" spans="1:10">
      <c r="A3" s="3"/>
      <c r="B3" s="6" t="s">
        <v>339</v>
      </c>
      <c r="C3" s="6"/>
      <c r="D3" s="8" t="s">
        <v>1</v>
      </c>
      <c r="E3" s="9"/>
      <c r="F3" s="9"/>
      <c r="G3" s="6"/>
      <c r="H3" s="6"/>
      <c r="I3" s="6"/>
      <c r="J3" s="7"/>
    </row>
    <row r="4" spans="1:10">
      <c r="A4" s="10"/>
      <c r="B4" s="11" t="s">
        <v>340</v>
      </c>
      <c r="C4" s="12"/>
      <c r="D4" s="13" t="s">
        <v>2</v>
      </c>
      <c r="E4" s="14"/>
      <c r="F4" s="15"/>
      <c r="G4" s="15"/>
      <c r="H4" s="15"/>
      <c r="I4" s="15"/>
      <c r="J4" s="16"/>
    </row>
    <row r="5" spans="1:10">
      <c r="A5" s="188"/>
      <c r="B5" s="188"/>
      <c r="C5" s="188"/>
      <c r="D5" s="188"/>
      <c r="E5" s="188"/>
      <c r="F5" s="188"/>
      <c r="G5" s="188"/>
      <c r="H5" s="188"/>
      <c r="I5" s="188"/>
      <c r="J5" s="188"/>
    </row>
    <row r="6" spans="1:10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</row>
    <row r="7" spans="1:10">
      <c r="A7" s="190"/>
      <c r="B7" s="190"/>
      <c r="C7" s="190"/>
      <c r="D7" s="190"/>
      <c r="E7" s="190"/>
      <c r="F7" s="190"/>
      <c r="G7" s="190"/>
      <c r="H7" s="190"/>
      <c r="I7" s="190"/>
      <c r="J7" s="190"/>
    </row>
    <row r="8" spans="1:10">
      <c r="A8" s="1" t="s">
        <v>4</v>
      </c>
      <c r="B8" s="191" t="s">
        <v>5</v>
      </c>
      <c r="C8" s="191"/>
      <c r="D8" s="191"/>
      <c r="E8" s="191"/>
      <c r="F8" s="191"/>
      <c r="G8" s="192"/>
      <c r="H8" s="192"/>
      <c r="I8" s="192"/>
      <c r="J8" s="192"/>
    </row>
    <row r="9" spans="1:10">
      <c r="A9" s="1" t="s">
        <v>6</v>
      </c>
      <c r="B9" s="191" t="s">
        <v>7</v>
      </c>
      <c r="C9" s="191"/>
      <c r="D9" s="191"/>
      <c r="E9" s="191"/>
      <c r="F9" s="191"/>
      <c r="G9" s="193" t="s">
        <v>8</v>
      </c>
      <c r="H9" s="193"/>
      <c r="I9" s="193"/>
      <c r="J9" s="193"/>
    </row>
    <row r="10" spans="1:10" ht="20.85" customHeight="1">
      <c r="A10" s="17" t="s">
        <v>9</v>
      </c>
      <c r="B10" s="194" t="s">
        <v>10</v>
      </c>
      <c r="C10" s="194"/>
      <c r="D10" s="194"/>
      <c r="E10" s="194"/>
      <c r="F10" s="194"/>
      <c r="G10" s="195" t="s">
        <v>11</v>
      </c>
      <c r="H10" s="195"/>
      <c r="I10" s="195"/>
      <c r="J10" s="195"/>
    </row>
    <row r="11" spans="1:10" ht="20.85" customHeight="1">
      <c r="A11" s="18" t="s">
        <v>12</v>
      </c>
      <c r="B11" s="194" t="s">
        <v>13</v>
      </c>
      <c r="C11" s="194"/>
      <c r="D11" s="194"/>
      <c r="E11" s="194"/>
      <c r="F11" s="194"/>
      <c r="G11" s="196" t="s">
        <v>14</v>
      </c>
      <c r="H11" s="196"/>
      <c r="I11" s="196"/>
      <c r="J11" s="196"/>
    </row>
    <row r="12" spans="1:10">
      <c r="A12" s="1" t="s">
        <v>15</v>
      </c>
      <c r="B12" s="19" t="s">
        <v>16</v>
      </c>
      <c r="C12" s="20"/>
      <c r="D12" s="20"/>
      <c r="E12" s="20"/>
      <c r="F12" s="20"/>
      <c r="G12" s="197">
        <v>12</v>
      </c>
      <c r="H12" s="197"/>
      <c r="I12" s="197"/>
      <c r="J12" s="197"/>
    </row>
    <row r="13" spans="1:10">
      <c r="A13" s="198"/>
      <c r="B13" s="198"/>
      <c r="C13" s="198"/>
      <c r="D13" s="198"/>
      <c r="E13" s="198"/>
      <c r="F13" s="198"/>
      <c r="G13" s="198"/>
      <c r="H13" s="198"/>
      <c r="I13" s="198"/>
      <c r="J13" s="198"/>
    </row>
    <row r="14" spans="1:10">
      <c r="A14" s="199" t="s">
        <v>17</v>
      </c>
      <c r="B14" s="199"/>
      <c r="C14" s="199"/>
      <c r="D14" s="199"/>
      <c r="E14" s="199"/>
      <c r="F14" s="199"/>
      <c r="G14" s="199"/>
      <c r="H14" s="199"/>
      <c r="I14" s="199"/>
      <c r="J14" s="199"/>
    </row>
    <row r="15" spans="1:10">
      <c r="A15" s="1">
        <v>1</v>
      </c>
      <c r="B15" s="200" t="s">
        <v>18</v>
      </c>
      <c r="C15" s="200"/>
      <c r="D15" s="200"/>
      <c r="E15" s="200"/>
      <c r="F15" s="200"/>
      <c r="G15" s="200"/>
      <c r="H15" s="200"/>
      <c r="I15" s="197" t="s">
        <v>19</v>
      </c>
      <c r="J15" s="197"/>
    </row>
    <row r="16" spans="1:10">
      <c r="A16" s="1">
        <v>2</v>
      </c>
      <c r="B16" s="200" t="s">
        <v>20</v>
      </c>
      <c r="C16" s="200"/>
      <c r="D16" s="200"/>
      <c r="E16" s="200"/>
      <c r="F16" s="200"/>
      <c r="G16" s="200"/>
      <c r="H16" s="200"/>
      <c r="I16" s="197">
        <v>1</v>
      </c>
      <c r="J16" s="197"/>
    </row>
    <row r="17" spans="1:10">
      <c r="A17" s="1">
        <v>3</v>
      </c>
      <c r="B17" s="200" t="s">
        <v>21</v>
      </c>
      <c r="C17" s="200"/>
      <c r="D17" s="200"/>
      <c r="E17" s="200"/>
      <c r="F17" s="200"/>
      <c r="G17" s="200"/>
      <c r="H17" s="200"/>
      <c r="I17" s="186" t="s">
        <v>22</v>
      </c>
      <c r="J17" s="186"/>
    </row>
    <row r="18" spans="1:10">
      <c r="A18" s="198"/>
      <c r="B18" s="198"/>
      <c r="C18" s="198"/>
      <c r="D18" s="198"/>
      <c r="E18" s="198"/>
      <c r="F18" s="198"/>
      <c r="G18" s="198"/>
      <c r="H18" s="198"/>
      <c r="I18" s="198"/>
      <c r="J18" s="198"/>
    </row>
    <row r="19" spans="1:10">
      <c r="A19" s="199" t="s">
        <v>23</v>
      </c>
      <c r="B19" s="199"/>
      <c r="C19" s="199"/>
      <c r="D19" s="199"/>
      <c r="E19" s="199"/>
      <c r="F19" s="199"/>
      <c r="G19" s="199"/>
      <c r="H19" s="199"/>
      <c r="I19" s="199"/>
      <c r="J19" s="199"/>
    </row>
    <row r="20" spans="1:10">
      <c r="A20" s="198"/>
      <c r="B20" s="198"/>
      <c r="C20" s="198"/>
      <c r="D20" s="198"/>
      <c r="E20" s="198"/>
      <c r="F20" s="198"/>
      <c r="G20" s="198"/>
      <c r="H20" s="198"/>
      <c r="I20" s="198"/>
      <c r="J20" s="198"/>
    </row>
    <row r="21" spans="1:10">
      <c r="A21" s="201" t="s">
        <v>24</v>
      </c>
      <c r="B21" s="201"/>
      <c r="C21" s="201"/>
      <c r="D21" s="201"/>
      <c r="E21" s="201"/>
      <c r="F21" s="201"/>
      <c r="G21" s="201"/>
      <c r="H21" s="201"/>
      <c r="I21" s="201"/>
      <c r="J21" s="201"/>
    </row>
    <row r="22" spans="1:10">
      <c r="A22" s="202" t="s">
        <v>25</v>
      </c>
      <c r="B22" s="202"/>
      <c r="C22" s="202"/>
      <c r="D22" s="202"/>
      <c r="E22" s="202"/>
      <c r="F22" s="202"/>
      <c r="G22" s="202"/>
      <c r="H22" s="202"/>
      <c r="I22" s="202"/>
      <c r="J22" s="202"/>
    </row>
    <row r="23" spans="1:10" ht="38.25" customHeight="1">
      <c r="A23" s="21">
        <v>1</v>
      </c>
      <c r="B23" s="203" t="s">
        <v>26</v>
      </c>
      <c r="C23" s="203"/>
      <c r="D23" s="203"/>
      <c r="E23" s="203"/>
      <c r="F23" s="203"/>
      <c r="G23" s="203"/>
      <c r="H23" s="203"/>
      <c r="I23" s="204" t="s">
        <v>27</v>
      </c>
      <c r="J23" s="204"/>
    </row>
    <row r="24" spans="1:10">
      <c r="A24" s="23">
        <v>2</v>
      </c>
      <c r="B24" s="200" t="s">
        <v>28</v>
      </c>
      <c r="C24" s="200"/>
      <c r="D24" s="200"/>
      <c r="E24" s="200"/>
      <c r="F24" s="200"/>
      <c r="G24" s="200"/>
      <c r="H24" s="200"/>
      <c r="I24" s="196" t="s">
        <v>29</v>
      </c>
      <c r="J24" s="196"/>
    </row>
    <row r="25" spans="1:10">
      <c r="A25" s="23">
        <v>3</v>
      </c>
      <c r="B25" s="200" t="s">
        <v>30</v>
      </c>
      <c r="C25" s="200"/>
      <c r="D25" s="200"/>
      <c r="E25" s="200"/>
      <c r="F25" s="200"/>
      <c r="G25" s="200"/>
      <c r="H25" s="200"/>
      <c r="I25" s="205">
        <v>2010.65</v>
      </c>
      <c r="J25" s="205"/>
    </row>
    <row r="26" spans="1:10">
      <c r="A26" s="23">
        <v>4</v>
      </c>
      <c r="B26" s="203" t="s">
        <v>31</v>
      </c>
      <c r="C26" s="203"/>
      <c r="D26" s="203"/>
      <c r="E26" s="203"/>
      <c r="F26" s="203"/>
      <c r="G26" s="203"/>
      <c r="H26" s="203"/>
      <c r="I26" s="206" t="s">
        <v>32</v>
      </c>
      <c r="J26" s="206"/>
    </row>
    <row r="27" spans="1:10">
      <c r="A27" s="23">
        <v>5</v>
      </c>
      <c r="B27" s="203" t="s">
        <v>33</v>
      </c>
      <c r="C27" s="203"/>
      <c r="D27" s="203"/>
      <c r="E27" s="203"/>
      <c r="F27" s="203"/>
      <c r="G27" s="203"/>
      <c r="H27" s="203"/>
      <c r="I27" s="207">
        <v>45352</v>
      </c>
      <c r="J27" s="207"/>
    </row>
    <row r="28" spans="1:10">
      <c r="A28" s="208"/>
      <c r="B28" s="208"/>
      <c r="C28" s="208"/>
      <c r="D28" s="208"/>
      <c r="E28" s="208"/>
      <c r="F28" s="208"/>
      <c r="G28" s="208"/>
      <c r="H28" s="208"/>
      <c r="I28" s="208"/>
      <c r="J28" s="208"/>
    </row>
    <row r="29" spans="1:10">
      <c r="A29" s="209" t="s">
        <v>34</v>
      </c>
      <c r="B29" s="209"/>
      <c r="C29" s="209"/>
      <c r="D29" s="209"/>
      <c r="E29" s="209"/>
      <c r="F29" s="209"/>
      <c r="G29" s="209"/>
      <c r="H29" s="209"/>
      <c r="I29" s="209"/>
      <c r="J29" s="209"/>
    </row>
    <row r="30" spans="1:10">
      <c r="A30" s="24">
        <v>1</v>
      </c>
      <c r="B30" s="210" t="s">
        <v>35</v>
      </c>
      <c r="C30" s="210"/>
      <c r="D30" s="210"/>
      <c r="E30" s="210"/>
      <c r="F30" s="210"/>
      <c r="G30" s="210"/>
      <c r="H30" s="210"/>
      <c r="I30" s="211" t="s">
        <v>36</v>
      </c>
      <c r="J30" s="211"/>
    </row>
    <row r="31" spans="1:10">
      <c r="A31" s="23" t="s">
        <v>4</v>
      </c>
      <c r="B31" s="200" t="s">
        <v>37</v>
      </c>
      <c r="C31" s="200"/>
      <c r="D31" s="200"/>
      <c r="E31" s="200"/>
      <c r="F31" s="200"/>
      <c r="G31" s="200"/>
      <c r="H31" s="200"/>
      <c r="I31" s="212">
        <v>2010.65</v>
      </c>
      <c r="J31" s="212"/>
    </row>
    <row r="32" spans="1:10">
      <c r="A32" s="25" t="s">
        <v>6</v>
      </c>
      <c r="B32" s="26" t="s">
        <v>38</v>
      </c>
      <c r="C32" s="27"/>
      <c r="D32" s="27"/>
      <c r="E32" s="27"/>
      <c r="F32" s="27"/>
      <c r="G32" s="213" t="s">
        <v>39</v>
      </c>
      <c r="H32" s="213"/>
      <c r="I32" s="214"/>
      <c r="J32" s="214"/>
    </row>
    <row r="33" spans="1:10">
      <c r="A33" s="25" t="s">
        <v>9</v>
      </c>
      <c r="B33" s="26" t="s">
        <v>40</v>
      </c>
      <c r="C33" s="27"/>
      <c r="D33" s="27"/>
      <c r="E33" s="27"/>
      <c r="F33" s="27"/>
      <c r="G33" s="213" t="s">
        <v>39</v>
      </c>
      <c r="H33" s="213"/>
      <c r="I33" s="215"/>
      <c r="J33" s="215"/>
    </row>
    <row r="34" spans="1:10">
      <c r="A34" s="23" t="s">
        <v>12</v>
      </c>
      <c r="B34" s="216" t="s">
        <v>41</v>
      </c>
      <c r="C34" s="216"/>
      <c r="D34" s="216"/>
      <c r="E34" s="216"/>
      <c r="F34" s="216"/>
      <c r="G34" s="216"/>
      <c r="H34" s="216"/>
      <c r="I34" s="214">
        <v>0</v>
      </c>
      <c r="J34" s="214"/>
    </row>
    <row r="35" spans="1:10">
      <c r="A35" s="23" t="s">
        <v>15</v>
      </c>
      <c r="B35" s="216" t="s">
        <v>42</v>
      </c>
      <c r="C35" s="216"/>
      <c r="D35" s="216"/>
      <c r="E35" s="216"/>
      <c r="F35" s="216"/>
      <c r="G35" s="216"/>
      <c r="H35" s="216"/>
      <c r="I35" s="214">
        <v>0</v>
      </c>
      <c r="J35" s="214"/>
    </row>
    <row r="36" spans="1:10">
      <c r="A36" s="1" t="s">
        <v>43</v>
      </c>
      <c r="B36" s="216" t="s">
        <v>44</v>
      </c>
      <c r="C36" s="216"/>
      <c r="D36" s="216"/>
      <c r="E36" s="216"/>
      <c r="F36" s="216"/>
      <c r="G36" s="216"/>
      <c r="H36" s="216"/>
      <c r="I36" s="214">
        <v>0</v>
      </c>
      <c r="J36" s="214"/>
    </row>
    <row r="37" spans="1:10">
      <c r="A37" s="23" t="s">
        <v>45</v>
      </c>
      <c r="B37" s="203" t="s">
        <v>46</v>
      </c>
      <c r="C37" s="203"/>
      <c r="D37" s="203"/>
      <c r="E37" s="203"/>
      <c r="F37" s="203"/>
      <c r="G37" s="203"/>
      <c r="H37" s="203"/>
      <c r="I37" s="217">
        <f>1610*30%</f>
        <v>483</v>
      </c>
      <c r="J37" s="217"/>
    </row>
    <row r="38" spans="1:10">
      <c r="A38" s="218" t="s">
        <v>47</v>
      </c>
      <c r="B38" s="218"/>
      <c r="C38" s="218"/>
      <c r="D38" s="218"/>
      <c r="E38" s="218"/>
      <c r="F38" s="218"/>
      <c r="G38" s="218"/>
      <c r="H38" s="218"/>
      <c r="I38" s="219">
        <f>SUM(I31:J37)</f>
        <v>2493.65</v>
      </c>
      <c r="J38" s="219"/>
    </row>
    <row r="39" spans="1:10">
      <c r="A39" s="208"/>
      <c r="B39" s="208"/>
      <c r="C39" s="208"/>
      <c r="D39" s="208"/>
      <c r="E39" s="208"/>
      <c r="F39" s="208"/>
      <c r="G39" s="208"/>
      <c r="H39" s="208"/>
      <c r="I39" s="208"/>
      <c r="J39" s="208"/>
    </row>
    <row r="40" spans="1:10">
      <c r="A40" s="209" t="s">
        <v>48</v>
      </c>
      <c r="B40" s="209"/>
      <c r="C40" s="209"/>
      <c r="D40" s="209"/>
      <c r="E40" s="209"/>
      <c r="F40" s="209"/>
      <c r="G40" s="209"/>
      <c r="H40" s="209"/>
      <c r="I40" s="209"/>
      <c r="J40" s="209"/>
    </row>
    <row r="41" spans="1:10">
      <c r="A41" s="220" t="s">
        <v>49</v>
      </c>
      <c r="B41" s="220"/>
      <c r="C41" s="220"/>
      <c r="D41" s="220"/>
      <c r="E41" s="220"/>
      <c r="F41" s="220"/>
      <c r="G41" s="220"/>
      <c r="H41" s="220"/>
      <c r="I41" s="220"/>
      <c r="J41" s="220"/>
    </row>
    <row r="42" spans="1:10">
      <c r="A42" s="24" t="s">
        <v>50</v>
      </c>
      <c r="B42" s="210" t="s">
        <v>51</v>
      </c>
      <c r="C42" s="210"/>
      <c r="D42" s="210"/>
      <c r="E42" s="210"/>
      <c r="F42" s="210"/>
      <c r="G42" s="210"/>
      <c r="H42" s="210"/>
      <c r="I42" s="24" t="s">
        <v>52</v>
      </c>
      <c r="J42" s="29" t="s">
        <v>36</v>
      </c>
    </row>
    <row r="43" spans="1:10">
      <c r="A43" s="23" t="s">
        <v>4</v>
      </c>
      <c r="B43" s="203" t="s">
        <v>53</v>
      </c>
      <c r="C43" s="203"/>
      <c r="D43" s="203"/>
      <c r="E43" s="203"/>
      <c r="F43" s="203"/>
      <c r="G43" s="203"/>
      <c r="H43" s="203"/>
      <c r="I43" s="30">
        <f>1/12</f>
        <v>8.3333333333333329E-2</v>
      </c>
      <c r="J43" s="31">
        <f>I43*I38</f>
        <v>207.80416666666667</v>
      </c>
    </row>
    <row r="44" spans="1:10">
      <c r="A44" s="23" t="s">
        <v>6</v>
      </c>
      <c r="B44" s="203" t="s">
        <v>54</v>
      </c>
      <c r="C44" s="203"/>
      <c r="D44" s="203"/>
      <c r="E44" s="203"/>
      <c r="F44" s="203"/>
      <c r="G44" s="203"/>
      <c r="H44" s="203"/>
      <c r="I44" s="32">
        <v>0.121</v>
      </c>
      <c r="J44" s="31">
        <f>I44*I38</f>
        <v>301.73165</v>
      </c>
    </row>
    <row r="45" spans="1:10">
      <c r="A45" s="218" t="s">
        <v>55</v>
      </c>
      <c r="B45" s="218"/>
      <c r="C45" s="218"/>
      <c r="D45" s="218"/>
      <c r="E45" s="218"/>
      <c r="F45" s="218"/>
      <c r="G45" s="218"/>
      <c r="H45" s="218"/>
      <c r="I45" s="219">
        <f>SUM(J43:J44)</f>
        <v>509.53581666666668</v>
      </c>
      <c r="J45" s="219"/>
    </row>
    <row r="46" spans="1:10">
      <c r="A46" s="221"/>
      <c r="B46" s="221"/>
      <c r="C46" s="221"/>
      <c r="D46" s="221"/>
      <c r="E46" s="221"/>
      <c r="F46" s="221"/>
      <c r="G46" s="221"/>
      <c r="H46" s="221"/>
      <c r="I46" s="221"/>
      <c r="J46" s="221"/>
    </row>
    <row r="47" spans="1:10">
      <c r="A47" s="220" t="s">
        <v>56</v>
      </c>
      <c r="B47" s="220"/>
      <c r="C47" s="220"/>
      <c r="D47" s="220"/>
      <c r="E47" s="220"/>
      <c r="F47" s="220"/>
      <c r="G47" s="220"/>
      <c r="H47" s="220"/>
      <c r="I47" s="220"/>
      <c r="J47" s="220"/>
    </row>
    <row r="48" spans="1:10">
      <c r="A48" s="24" t="s">
        <v>57</v>
      </c>
      <c r="B48" s="210" t="s">
        <v>58</v>
      </c>
      <c r="C48" s="210"/>
      <c r="D48" s="210"/>
      <c r="E48" s="210"/>
      <c r="F48" s="210"/>
      <c r="G48" s="210"/>
      <c r="H48" s="210"/>
      <c r="I48" s="24" t="s">
        <v>52</v>
      </c>
      <c r="J48" s="29" t="s">
        <v>36</v>
      </c>
    </row>
    <row r="49" spans="1:10">
      <c r="A49" s="23" t="s">
        <v>4</v>
      </c>
      <c r="B49" s="203" t="s">
        <v>59</v>
      </c>
      <c r="C49" s="203"/>
      <c r="D49" s="203"/>
      <c r="E49" s="203"/>
      <c r="F49" s="203"/>
      <c r="G49" s="203"/>
      <c r="H49" s="203"/>
      <c r="I49" s="33">
        <v>0.2</v>
      </c>
      <c r="J49" s="34">
        <f>I49*($I$38+I45)</f>
        <v>600.63716333333332</v>
      </c>
    </row>
    <row r="50" spans="1:10">
      <c r="A50" s="23" t="s">
        <v>6</v>
      </c>
      <c r="B50" s="203" t="s">
        <v>60</v>
      </c>
      <c r="C50" s="203"/>
      <c r="D50" s="203"/>
      <c r="E50" s="203"/>
      <c r="F50" s="203"/>
      <c r="G50" s="203"/>
      <c r="H50" s="203"/>
      <c r="I50" s="33">
        <v>2.5000000000000001E-2</v>
      </c>
      <c r="J50" s="34">
        <f>I50*($I$38+I45)</f>
        <v>75.079645416666665</v>
      </c>
    </row>
    <row r="51" spans="1:10">
      <c r="A51" s="35" t="s">
        <v>9</v>
      </c>
      <c r="B51" s="36" t="s">
        <v>61</v>
      </c>
      <c r="C51" s="37"/>
      <c r="D51" s="37"/>
      <c r="E51" s="37"/>
      <c r="F51" s="37"/>
      <c r="G51" s="38"/>
      <c r="H51" s="38"/>
      <c r="I51" s="39">
        <v>0.03</v>
      </c>
      <c r="J51" s="34">
        <f>I51*($I$38+I45)</f>
        <v>90.095574499999998</v>
      </c>
    </row>
    <row r="52" spans="1:10">
      <c r="A52" s="35" t="s">
        <v>12</v>
      </c>
      <c r="B52" s="203" t="s">
        <v>62</v>
      </c>
      <c r="C52" s="203"/>
      <c r="D52" s="203"/>
      <c r="E52" s="203"/>
      <c r="F52" s="203"/>
      <c r="G52" s="203"/>
      <c r="H52" s="203"/>
      <c r="I52" s="33">
        <v>1.4999999999999999E-2</v>
      </c>
      <c r="J52" s="34">
        <f>I52*($I$38+I45)</f>
        <v>45.047787249999999</v>
      </c>
    </row>
    <row r="53" spans="1:10">
      <c r="A53" s="23" t="s">
        <v>15</v>
      </c>
      <c r="B53" s="203" t="s">
        <v>63</v>
      </c>
      <c r="C53" s="203"/>
      <c r="D53" s="203"/>
      <c r="E53" s="203"/>
      <c r="F53" s="203"/>
      <c r="G53" s="203"/>
      <c r="H53" s="203"/>
      <c r="I53" s="40">
        <v>0.01</v>
      </c>
      <c r="J53" s="34">
        <f>I53*($I$38+I45)</f>
        <v>30.031858166666666</v>
      </c>
    </row>
    <row r="54" spans="1:10">
      <c r="A54" s="23" t="s">
        <v>43</v>
      </c>
      <c r="B54" s="203" t="s">
        <v>64</v>
      </c>
      <c r="C54" s="203"/>
      <c r="D54" s="203"/>
      <c r="E54" s="203"/>
      <c r="F54" s="203"/>
      <c r="G54" s="203"/>
      <c r="H54" s="203"/>
      <c r="I54" s="33">
        <v>6.0000000000000001E-3</v>
      </c>
      <c r="J54" s="34">
        <f>I54*($I$38+I45)</f>
        <v>18.019114900000002</v>
      </c>
    </row>
    <row r="55" spans="1:10">
      <c r="A55" s="23" t="s">
        <v>45</v>
      </c>
      <c r="B55" s="203" t="s">
        <v>65</v>
      </c>
      <c r="C55" s="203"/>
      <c r="D55" s="203"/>
      <c r="E55" s="203"/>
      <c r="F55" s="203"/>
      <c r="G55" s="203"/>
      <c r="H55" s="203"/>
      <c r="I55" s="33">
        <v>2E-3</v>
      </c>
      <c r="J55" s="34">
        <f>I55*($I$38+I45)</f>
        <v>6.006371633333333</v>
      </c>
    </row>
    <row r="56" spans="1:10">
      <c r="A56" s="23" t="s">
        <v>66</v>
      </c>
      <c r="B56" s="203" t="s">
        <v>67</v>
      </c>
      <c r="C56" s="203"/>
      <c r="D56" s="203"/>
      <c r="E56" s="203"/>
      <c r="F56" s="203"/>
      <c r="G56" s="203"/>
      <c r="H56" s="203"/>
      <c r="I56" s="40">
        <v>0.08</v>
      </c>
      <c r="J56" s="34">
        <f>I56*($I$38+I45)</f>
        <v>240.25486533333333</v>
      </c>
    </row>
    <row r="57" spans="1:10">
      <c r="A57" s="222" t="s">
        <v>68</v>
      </c>
      <c r="B57" s="222"/>
      <c r="C57" s="222"/>
      <c r="D57" s="222"/>
      <c r="E57" s="222"/>
      <c r="F57" s="222"/>
      <c r="G57" s="222"/>
      <c r="H57" s="24"/>
      <c r="I57" s="41">
        <f>SUM(I49:I56)</f>
        <v>0.36800000000000005</v>
      </c>
      <c r="J57" s="42">
        <f>I57*($I$38+I45)</f>
        <v>1105.1723805333334</v>
      </c>
    </row>
    <row r="58" spans="1:10">
      <c r="A58" s="221"/>
      <c r="B58" s="221"/>
      <c r="C58" s="221"/>
      <c r="D58" s="221"/>
      <c r="E58" s="221"/>
      <c r="F58" s="221"/>
      <c r="G58" s="221"/>
      <c r="H58" s="221"/>
      <c r="I58" s="221"/>
      <c r="J58" s="221"/>
    </row>
    <row r="59" spans="1:10">
      <c r="A59" s="222" t="s">
        <v>69</v>
      </c>
      <c r="B59" s="222"/>
      <c r="C59" s="222"/>
      <c r="D59" s="222"/>
      <c r="E59" s="222"/>
      <c r="F59" s="222"/>
      <c r="G59" s="222"/>
      <c r="H59" s="222"/>
      <c r="I59" s="222"/>
      <c r="J59" s="222"/>
    </row>
    <row r="60" spans="1:10">
      <c r="A60" s="24" t="s">
        <v>70</v>
      </c>
      <c r="B60" s="220" t="s">
        <v>71</v>
      </c>
      <c r="C60" s="220"/>
      <c r="D60" s="220"/>
      <c r="E60" s="220"/>
      <c r="F60" s="220"/>
      <c r="G60" s="220"/>
      <c r="H60" s="28"/>
      <c r="I60" s="222" t="s">
        <v>36</v>
      </c>
      <c r="J60" s="222"/>
    </row>
    <row r="61" spans="1:10" ht="17.850000000000001" customHeight="1">
      <c r="A61" s="223" t="s">
        <v>72</v>
      </c>
      <c r="B61" s="224" t="s">
        <v>73</v>
      </c>
      <c r="C61" s="224"/>
      <c r="D61" s="22" t="s">
        <v>74</v>
      </c>
      <c r="E61" s="22" t="s">
        <v>75</v>
      </c>
      <c r="F61" s="22" t="s">
        <v>76</v>
      </c>
      <c r="G61" s="21" t="s">
        <v>77</v>
      </c>
      <c r="H61" s="22" t="s">
        <v>78</v>
      </c>
      <c r="I61" s="225">
        <f>(E62*F62*G62)-H62</f>
        <v>86.161000000000016</v>
      </c>
      <c r="J61" s="225"/>
    </row>
    <row r="62" spans="1:10" ht="17.850000000000001" customHeight="1">
      <c r="A62" s="223"/>
      <c r="B62" s="224"/>
      <c r="C62" s="224"/>
      <c r="D62" s="21" t="s">
        <v>79</v>
      </c>
      <c r="E62" s="43">
        <v>4.7</v>
      </c>
      <c r="F62" s="21">
        <v>2</v>
      </c>
      <c r="G62" s="21">
        <v>22</v>
      </c>
      <c r="H62" s="43">
        <f>I31*0.06</f>
        <v>120.639</v>
      </c>
      <c r="I62" s="225"/>
      <c r="J62" s="225"/>
    </row>
    <row r="63" spans="1:10" ht="18.600000000000001" customHeight="1">
      <c r="A63" s="226" t="s">
        <v>6</v>
      </c>
      <c r="B63" s="203" t="s">
        <v>80</v>
      </c>
      <c r="C63" s="203"/>
      <c r="D63" s="203"/>
      <c r="E63" s="22" t="s">
        <v>74</v>
      </c>
      <c r="F63" s="21" t="s">
        <v>81</v>
      </c>
      <c r="G63" s="22"/>
      <c r="H63" s="22"/>
      <c r="I63" s="225">
        <f>(F64*G64)-H64</f>
        <v>465.3</v>
      </c>
      <c r="J63" s="225"/>
    </row>
    <row r="64" spans="1:10" ht="18.600000000000001" customHeight="1">
      <c r="A64" s="226"/>
      <c r="B64" s="203"/>
      <c r="C64" s="203"/>
      <c r="D64" s="203"/>
      <c r="E64" s="21" t="s">
        <v>79</v>
      </c>
      <c r="F64" s="44">
        <v>23.5</v>
      </c>
      <c r="G64" s="21">
        <v>22</v>
      </c>
      <c r="H64" s="43">
        <f>F64*G64*0.1</f>
        <v>51.7</v>
      </c>
      <c r="I64" s="225"/>
      <c r="J64" s="225"/>
    </row>
    <row r="65" spans="1:10" ht="26.85" customHeight="1">
      <c r="A65" s="23" t="s">
        <v>9</v>
      </c>
      <c r="B65" s="227" t="s">
        <v>82</v>
      </c>
      <c r="C65" s="227"/>
      <c r="D65" s="227"/>
      <c r="E65" s="227"/>
      <c r="F65" s="227"/>
      <c r="G65" s="227"/>
      <c r="H65" s="227"/>
      <c r="I65" s="212">
        <v>20.149999999999999</v>
      </c>
      <c r="J65" s="212"/>
    </row>
    <row r="66" spans="1:10">
      <c r="A66" s="23" t="s">
        <v>12</v>
      </c>
      <c r="B66" s="228"/>
      <c r="C66" s="228"/>
      <c r="D66" s="228"/>
      <c r="E66" s="228"/>
      <c r="F66" s="228"/>
      <c r="G66" s="228"/>
      <c r="H66" s="228"/>
      <c r="I66" s="212"/>
      <c r="J66" s="212"/>
    </row>
    <row r="67" spans="1:10">
      <c r="A67" s="23" t="s">
        <v>15</v>
      </c>
      <c r="B67" s="228"/>
      <c r="C67" s="228"/>
      <c r="D67" s="228"/>
      <c r="E67" s="228"/>
      <c r="F67" s="228"/>
      <c r="G67" s="228"/>
      <c r="H67" s="228"/>
      <c r="I67" s="212"/>
      <c r="J67" s="212"/>
    </row>
    <row r="68" spans="1:10">
      <c r="A68" s="218" t="s">
        <v>55</v>
      </c>
      <c r="B68" s="218"/>
      <c r="C68" s="218"/>
      <c r="D68" s="218"/>
      <c r="E68" s="218"/>
      <c r="F68" s="218"/>
      <c r="G68" s="218"/>
      <c r="H68" s="218"/>
      <c r="I68" s="219">
        <f>SUM(I61:J67)</f>
        <v>571.61099999999999</v>
      </c>
      <c r="J68" s="219"/>
    </row>
    <row r="69" spans="1:10">
      <c r="A69" s="198"/>
      <c r="B69" s="198"/>
      <c r="C69" s="198"/>
      <c r="D69" s="198"/>
      <c r="E69" s="198"/>
      <c r="F69" s="198"/>
      <c r="G69" s="198"/>
      <c r="H69" s="198"/>
      <c r="I69" s="198"/>
      <c r="J69" s="198"/>
    </row>
    <row r="70" spans="1:10">
      <c r="A70" s="229" t="s">
        <v>83</v>
      </c>
      <c r="B70" s="229"/>
      <c r="C70" s="229"/>
      <c r="D70" s="229"/>
      <c r="E70" s="229"/>
      <c r="F70" s="229"/>
      <c r="G70" s="229"/>
      <c r="H70" s="229"/>
      <c r="I70" s="229"/>
      <c r="J70" s="229"/>
    </row>
    <row r="71" spans="1:10">
      <c r="A71" s="230"/>
      <c r="B71" s="230"/>
      <c r="C71" s="230"/>
      <c r="D71" s="230"/>
      <c r="E71" s="230"/>
      <c r="F71" s="230"/>
      <c r="G71" s="230"/>
      <c r="H71" s="230"/>
      <c r="I71" s="230"/>
      <c r="J71" s="230"/>
    </row>
    <row r="72" spans="1:10">
      <c r="A72" s="45">
        <v>2</v>
      </c>
      <c r="B72" s="231" t="s">
        <v>84</v>
      </c>
      <c r="C72" s="231"/>
      <c r="D72" s="231"/>
      <c r="E72" s="231"/>
      <c r="F72" s="231"/>
      <c r="G72" s="231"/>
      <c r="H72" s="231"/>
      <c r="I72" s="232" t="s">
        <v>36</v>
      </c>
      <c r="J72" s="232"/>
    </row>
    <row r="73" spans="1:10">
      <c r="A73" s="25" t="s">
        <v>50</v>
      </c>
      <c r="B73" s="233" t="s">
        <v>85</v>
      </c>
      <c r="C73" s="233"/>
      <c r="D73" s="233"/>
      <c r="E73" s="233"/>
      <c r="F73" s="233"/>
      <c r="G73" s="233"/>
      <c r="H73" s="233"/>
      <c r="I73" s="234">
        <f>I45</f>
        <v>509.53581666666668</v>
      </c>
      <c r="J73" s="234"/>
    </row>
    <row r="74" spans="1:10">
      <c r="A74" s="25" t="s">
        <v>57</v>
      </c>
      <c r="B74" s="233" t="s">
        <v>58</v>
      </c>
      <c r="C74" s="233"/>
      <c r="D74" s="233"/>
      <c r="E74" s="233"/>
      <c r="F74" s="233"/>
      <c r="G74" s="233"/>
      <c r="H74" s="233"/>
      <c r="I74" s="234">
        <f>J57</f>
        <v>1105.1723805333334</v>
      </c>
      <c r="J74" s="234"/>
    </row>
    <row r="75" spans="1:10">
      <c r="A75" s="25" t="s">
        <v>70</v>
      </c>
      <c r="B75" s="233" t="s">
        <v>71</v>
      </c>
      <c r="C75" s="233"/>
      <c r="D75" s="233"/>
      <c r="E75" s="233"/>
      <c r="F75" s="233"/>
      <c r="G75" s="233"/>
      <c r="H75" s="233"/>
      <c r="I75" s="234">
        <f>I68</f>
        <v>571.61099999999999</v>
      </c>
      <c r="J75" s="234"/>
    </row>
    <row r="76" spans="1:10">
      <c r="A76" s="218" t="s">
        <v>55</v>
      </c>
      <c r="B76" s="218"/>
      <c r="C76" s="218"/>
      <c r="D76" s="218"/>
      <c r="E76" s="218"/>
      <c r="F76" s="218"/>
      <c r="G76" s="218"/>
      <c r="H76" s="218"/>
      <c r="I76" s="219">
        <f>SUM(I73:J75)</f>
        <v>2186.3191972</v>
      </c>
      <c r="J76" s="219"/>
    </row>
    <row r="77" spans="1:10">
      <c r="A77" s="235"/>
      <c r="B77" s="235"/>
      <c r="C77" s="235"/>
      <c r="D77" s="235"/>
      <c r="E77" s="235"/>
      <c r="F77" s="235"/>
      <c r="G77" s="235"/>
      <c r="H77" s="235"/>
      <c r="I77" s="235"/>
      <c r="J77" s="235"/>
    </row>
    <row r="78" spans="1:10">
      <c r="A78" s="209" t="s">
        <v>86</v>
      </c>
      <c r="B78" s="209"/>
      <c r="C78" s="209"/>
      <c r="D78" s="209"/>
      <c r="E78" s="209"/>
      <c r="F78" s="209"/>
      <c r="G78" s="209"/>
      <c r="H78" s="209"/>
      <c r="I78" s="209"/>
      <c r="J78" s="209"/>
    </row>
    <row r="79" spans="1:10">
      <c r="A79" s="24">
        <v>3</v>
      </c>
      <c r="B79" s="210" t="s">
        <v>87</v>
      </c>
      <c r="C79" s="210"/>
      <c r="D79" s="210"/>
      <c r="E79" s="210"/>
      <c r="F79" s="210"/>
      <c r="G79" s="210"/>
      <c r="H79" s="210"/>
      <c r="I79" s="24" t="s">
        <v>52</v>
      </c>
      <c r="J79" s="29" t="s">
        <v>36</v>
      </c>
    </row>
    <row r="80" spans="1:10">
      <c r="A80" s="23" t="s">
        <v>4</v>
      </c>
      <c r="B80" s="203" t="s">
        <v>88</v>
      </c>
      <c r="C80" s="203"/>
      <c r="D80" s="203"/>
      <c r="E80" s="203"/>
      <c r="F80" s="203"/>
      <c r="G80" s="203"/>
      <c r="H80" s="203"/>
      <c r="I80" s="47">
        <v>4.1999999999999997E-3</v>
      </c>
      <c r="J80" s="34">
        <f t="shared" ref="J80:J85" si="0">I80*$I$38</f>
        <v>10.473329999999999</v>
      </c>
    </row>
    <row r="81" spans="1:10">
      <c r="A81" s="23" t="s">
        <v>6</v>
      </c>
      <c r="B81" s="203" t="s">
        <v>89</v>
      </c>
      <c r="C81" s="203"/>
      <c r="D81" s="203"/>
      <c r="E81" s="203"/>
      <c r="F81" s="203"/>
      <c r="G81" s="203"/>
      <c r="H81" s="203"/>
      <c r="I81" s="47">
        <v>3.3300000000000002E-4</v>
      </c>
      <c r="J81" s="34">
        <f t="shared" si="0"/>
        <v>0.83038545000000008</v>
      </c>
    </row>
    <row r="82" spans="1:10">
      <c r="A82" s="23" t="s">
        <v>9</v>
      </c>
      <c r="B82" s="203" t="s">
        <v>90</v>
      </c>
      <c r="C82" s="203"/>
      <c r="D82" s="203"/>
      <c r="E82" s="203"/>
      <c r="F82" s="203"/>
      <c r="G82" s="203"/>
      <c r="H82" s="203"/>
      <c r="I82" s="47">
        <v>2E-3</v>
      </c>
      <c r="J82" s="34">
        <f t="shared" si="0"/>
        <v>4.9873000000000003</v>
      </c>
    </row>
    <row r="83" spans="1:10">
      <c r="A83" s="23" t="s">
        <v>12</v>
      </c>
      <c r="B83" s="203" t="s">
        <v>91</v>
      </c>
      <c r="C83" s="203"/>
      <c r="D83" s="203"/>
      <c r="E83" s="203"/>
      <c r="F83" s="203"/>
      <c r="G83" s="203"/>
      <c r="H83" s="203"/>
      <c r="I83" s="47">
        <v>1.9400000000000001E-2</v>
      </c>
      <c r="J83" s="34">
        <f t="shared" si="0"/>
        <v>48.376810000000006</v>
      </c>
    </row>
    <row r="84" spans="1:10">
      <c r="A84" s="23" t="s">
        <v>15</v>
      </c>
      <c r="B84" s="203" t="s">
        <v>92</v>
      </c>
      <c r="C84" s="203"/>
      <c r="D84" s="203"/>
      <c r="E84" s="203"/>
      <c r="F84" s="203"/>
      <c r="G84" s="203"/>
      <c r="H84" s="203"/>
      <c r="I84" s="47">
        <v>7.1399999999999996E-3</v>
      </c>
      <c r="J84" s="34">
        <f t="shared" si="0"/>
        <v>17.804660999999999</v>
      </c>
    </row>
    <row r="85" spans="1:10">
      <c r="A85" s="23" t="s">
        <v>43</v>
      </c>
      <c r="B85" s="203" t="s">
        <v>93</v>
      </c>
      <c r="C85" s="203"/>
      <c r="D85" s="203"/>
      <c r="E85" s="203"/>
      <c r="F85" s="203"/>
      <c r="G85" s="203"/>
      <c r="H85" s="203"/>
      <c r="I85" s="47">
        <v>3.7999999999999999E-2</v>
      </c>
      <c r="J85" s="34">
        <f t="shared" si="0"/>
        <v>94.758700000000005</v>
      </c>
    </row>
    <row r="86" spans="1:10">
      <c r="A86" s="218" t="s">
        <v>55</v>
      </c>
      <c r="B86" s="218"/>
      <c r="C86" s="218"/>
      <c r="D86" s="218"/>
      <c r="E86" s="218"/>
      <c r="F86" s="218"/>
      <c r="G86" s="218"/>
      <c r="H86" s="218"/>
      <c r="I86" s="219">
        <f>SUM(J80:J85)</f>
        <v>177.23118645</v>
      </c>
      <c r="J86" s="219"/>
    </row>
    <row r="87" spans="1:10">
      <c r="A87" s="236"/>
      <c r="B87" s="236"/>
      <c r="C87" s="236"/>
      <c r="D87" s="236"/>
      <c r="E87" s="236"/>
      <c r="F87" s="236"/>
      <c r="G87" s="236"/>
      <c r="H87" s="236"/>
      <c r="I87" s="236"/>
      <c r="J87" s="236"/>
    </row>
    <row r="88" spans="1:10">
      <c r="A88" s="209" t="s">
        <v>94</v>
      </c>
      <c r="B88" s="209"/>
      <c r="C88" s="209"/>
      <c r="D88" s="209"/>
      <c r="E88" s="209"/>
      <c r="F88" s="209"/>
      <c r="G88" s="209"/>
      <c r="H88" s="209"/>
      <c r="I88" s="209"/>
      <c r="J88" s="209"/>
    </row>
    <row r="89" spans="1:10">
      <c r="A89" s="48" t="s">
        <v>95</v>
      </c>
      <c r="B89" s="49"/>
      <c r="C89" s="49"/>
      <c r="D89" s="49"/>
      <c r="E89" s="49"/>
      <c r="F89" s="49"/>
      <c r="G89" s="49"/>
      <c r="H89" s="49"/>
      <c r="I89" s="49"/>
      <c r="J89" s="50">
        <f>I38+I76+I86-I61-I63</f>
        <v>4305.7393836499996</v>
      </c>
    </row>
    <row r="90" spans="1:10">
      <c r="A90" s="24" t="s">
        <v>96</v>
      </c>
      <c r="B90" s="210" t="s">
        <v>97</v>
      </c>
      <c r="C90" s="210"/>
      <c r="D90" s="210"/>
      <c r="E90" s="210"/>
      <c r="F90" s="210"/>
      <c r="G90" s="210"/>
      <c r="H90" s="210"/>
      <c r="I90" s="24" t="s">
        <v>52</v>
      </c>
      <c r="J90" s="24" t="s">
        <v>36</v>
      </c>
    </row>
    <row r="91" spans="1:10">
      <c r="A91" s="23" t="s">
        <v>4</v>
      </c>
      <c r="B91" s="203" t="s">
        <v>98</v>
      </c>
      <c r="C91" s="203"/>
      <c r="D91" s="203"/>
      <c r="E91" s="203"/>
      <c r="F91" s="203"/>
      <c r="G91" s="203"/>
      <c r="H91" s="203"/>
      <c r="I91" s="30">
        <v>1.6199999999999999E-2</v>
      </c>
      <c r="J91" s="51">
        <f t="shared" ref="J91:J96" si="1">I91*$J$89</f>
        <v>69.752978015129983</v>
      </c>
    </row>
    <row r="92" spans="1:10">
      <c r="A92" s="23" t="s">
        <v>6</v>
      </c>
      <c r="B92" s="203" t="s">
        <v>99</v>
      </c>
      <c r="C92" s="203"/>
      <c r="D92" s="203"/>
      <c r="E92" s="203"/>
      <c r="F92" s="203"/>
      <c r="G92" s="203"/>
      <c r="H92" s="203"/>
      <c r="I92" s="30">
        <v>2.8E-3</v>
      </c>
      <c r="J92" s="51">
        <f t="shared" si="1"/>
        <v>12.056070274219998</v>
      </c>
    </row>
    <row r="93" spans="1:10">
      <c r="A93" s="23" t="s">
        <v>9</v>
      </c>
      <c r="B93" s="203" t="s">
        <v>100</v>
      </c>
      <c r="C93" s="203"/>
      <c r="D93" s="203"/>
      <c r="E93" s="203"/>
      <c r="F93" s="203"/>
      <c r="G93" s="203"/>
      <c r="H93" s="203"/>
      <c r="I93" s="30">
        <v>2.0000000000000001E-4</v>
      </c>
      <c r="J93" s="51">
        <f t="shared" si="1"/>
        <v>0.86114787672999993</v>
      </c>
    </row>
    <row r="94" spans="1:10">
      <c r="A94" s="23" t="s">
        <v>12</v>
      </c>
      <c r="B94" s="203" t="s">
        <v>101</v>
      </c>
      <c r="C94" s="203"/>
      <c r="D94" s="203"/>
      <c r="E94" s="203"/>
      <c r="F94" s="203"/>
      <c r="G94" s="203"/>
      <c r="H94" s="203"/>
      <c r="I94" s="30">
        <v>2.9999999999999997E-4</v>
      </c>
      <c r="J94" s="51">
        <f t="shared" si="1"/>
        <v>1.2917218150949998</v>
      </c>
    </row>
    <row r="95" spans="1:10">
      <c r="A95" s="23" t="s">
        <v>15</v>
      </c>
      <c r="B95" s="203" t="s">
        <v>102</v>
      </c>
      <c r="C95" s="203"/>
      <c r="D95" s="203"/>
      <c r="E95" s="203"/>
      <c r="F95" s="203"/>
      <c r="G95" s="203"/>
      <c r="H95" s="203"/>
      <c r="I95" s="30">
        <v>8.0000000000000004E-4</v>
      </c>
      <c r="J95" s="51">
        <f t="shared" si="1"/>
        <v>3.4445915069199997</v>
      </c>
    </row>
    <row r="96" spans="1:10">
      <c r="A96" s="23" t="s">
        <v>43</v>
      </c>
      <c r="B96" s="203" t="s">
        <v>103</v>
      </c>
      <c r="C96" s="203"/>
      <c r="D96" s="203"/>
      <c r="E96" s="203"/>
      <c r="F96" s="203"/>
      <c r="G96" s="203"/>
      <c r="H96" s="203"/>
      <c r="I96" s="30">
        <v>0</v>
      </c>
      <c r="J96" s="51">
        <f t="shared" si="1"/>
        <v>0</v>
      </c>
    </row>
    <row r="97" spans="1:10">
      <c r="A97" s="231" t="s">
        <v>55</v>
      </c>
      <c r="B97" s="231"/>
      <c r="C97" s="231"/>
      <c r="D97" s="231"/>
      <c r="E97" s="231"/>
      <c r="F97" s="231"/>
      <c r="G97" s="231"/>
      <c r="H97" s="231"/>
      <c r="I97" s="52">
        <f>SUM(I91:I96)</f>
        <v>2.0299999999999999E-2</v>
      </c>
      <c r="J97" s="53">
        <f>SUM(J91:J96)</f>
        <v>87.406509488094997</v>
      </c>
    </row>
    <row r="98" spans="1:10">
      <c r="A98" s="235"/>
      <c r="B98" s="235"/>
      <c r="C98" s="235"/>
      <c r="D98" s="235"/>
      <c r="E98" s="235"/>
      <c r="F98" s="235"/>
      <c r="G98" s="235"/>
      <c r="H98" s="235"/>
      <c r="I98" s="235"/>
      <c r="J98" s="235"/>
    </row>
    <row r="99" spans="1:10">
      <c r="A99" s="222" t="s">
        <v>104</v>
      </c>
      <c r="B99" s="222"/>
      <c r="C99" s="222"/>
      <c r="D99" s="222"/>
      <c r="E99" s="222"/>
      <c r="F99" s="222"/>
      <c r="G99" s="222"/>
      <c r="H99" s="222"/>
      <c r="I99" s="222"/>
      <c r="J99" s="222"/>
    </row>
    <row r="100" spans="1:10">
      <c r="A100" s="24" t="s">
        <v>105</v>
      </c>
      <c r="B100" s="210" t="s">
        <v>106</v>
      </c>
      <c r="C100" s="210"/>
      <c r="D100" s="210"/>
      <c r="E100" s="210"/>
      <c r="F100" s="210"/>
      <c r="G100" s="210"/>
      <c r="H100" s="210"/>
      <c r="I100" s="24" t="s">
        <v>52</v>
      </c>
      <c r="J100" s="24" t="s">
        <v>36</v>
      </c>
    </row>
    <row r="101" spans="1:10">
      <c r="A101" s="23" t="s">
        <v>4</v>
      </c>
      <c r="B101" s="203" t="s">
        <v>107</v>
      </c>
      <c r="C101" s="203"/>
      <c r="D101" s="203"/>
      <c r="E101" s="203"/>
      <c r="F101" s="203"/>
      <c r="G101" s="203"/>
      <c r="H101" s="203"/>
      <c r="I101" s="30"/>
      <c r="J101" s="54">
        <f>(I31+I32+I33)*I101</f>
        <v>0</v>
      </c>
    </row>
    <row r="102" spans="1:10">
      <c r="A102" s="218" t="s">
        <v>55</v>
      </c>
      <c r="B102" s="218"/>
      <c r="C102" s="218"/>
      <c r="D102" s="218"/>
      <c r="E102" s="218"/>
      <c r="F102" s="218"/>
      <c r="G102" s="218"/>
      <c r="H102" s="218"/>
      <c r="I102" s="237">
        <f>SUM(J98:J101)</f>
        <v>0</v>
      </c>
      <c r="J102" s="237"/>
    </row>
    <row r="103" spans="1:10" ht="12.75" customHeight="1">
      <c r="A103" s="198"/>
      <c r="B103" s="198"/>
      <c r="C103" s="198"/>
      <c r="D103" s="198"/>
      <c r="E103" s="198"/>
      <c r="F103" s="198"/>
      <c r="G103" s="198"/>
      <c r="H103" s="198"/>
      <c r="I103" s="198"/>
      <c r="J103" s="198"/>
    </row>
    <row r="104" spans="1:10">
      <c r="A104" s="229" t="s">
        <v>108</v>
      </c>
      <c r="B104" s="229"/>
      <c r="C104" s="229"/>
      <c r="D104" s="229"/>
      <c r="E104" s="229"/>
      <c r="F104" s="229"/>
      <c r="G104" s="229"/>
      <c r="H104" s="229"/>
      <c r="I104" s="229"/>
      <c r="J104" s="229"/>
    </row>
    <row r="105" spans="1:10">
      <c r="A105" s="230"/>
      <c r="B105" s="230"/>
      <c r="C105" s="230"/>
      <c r="D105" s="230"/>
      <c r="E105" s="230"/>
      <c r="F105" s="230"/>
      <c r="G105" s="230"/>
      <c r="H105" s="230"/>
      <c r="I105" s="230"/>
      <c r="J105" s="230"/>
    </row>
    <row r="106" spans="1:10">
      <c r="A106" s="45">
        <v>4</v>
      </c>
      <c r="B106" s="238" t="s">
        <v>84</v>
      </c>
      <c r="C106" s="238"/>
      <c r="D106" s="238"/>
      <c r="E106" s="238"/>
      <c r="F106" s="238"/>
      <c r="G106" s="238"/>
      <c r="H106" s="238"/>
      <c r="I106" s="232" t="s">
        <v>36</v>
      </c>
      <c r="J106" s="232"/>
    </row>
    <row r="107" spans="1:10">
      <c r="A107" s="25" t="s">
        <v>96</v>
      </c>
      <c r="B107" s="233" t="s">
        <v>109</v>
      </c>
      <c r="C107" s="233"/>
      <c r="D107" s="233"/>
      <c r="E107" s="233"/>
      <c r="F107" s="233"/>
      <c r="G107" s="233"/>
      <c r="H107" s="233"/>
      <c r="I107" s="234">
        <f>J97</f>
        <v>87.406509488094997</v>
      </c>
      <c r="J107" s="234"/>
    </row>
    <row r="108" spans="1:10">
      <c r="A108" s="25" t="s">
        <v>105</v>
      </c>
      <c r="B108" s="233" t="s">
        <v>106</v>
      </c>
      <c r="C108" s="233"/>
      <c r="D108" s="233"/>
      <c r="E108" s="233"/>
      <c r="F108" s="233"/>
      <c r="G108" s="233"/>
      <c r="H108" s="233"/>
      <c r="I108" s="234">
        <f>I102</f>
        <v>0</v>
      </c>
      <c r="J108" s="234"/>
    </row>
    <row r="109" spans="1:10">
      <c r="A109" s="218" t="s">
        <v>55</v>
      </c>
      <c r="B109" s="218"/>
      <c r="C109" s="218"/>
      <c r="D109" s="218"/>
      <c r="E109" s="218"/>
      <c r="F109" s="218"/>
      <c r="G109" s="218"/>
      <c r="H109" s="218"/>
      <c r="I109" s="239">
        <f>SUM(I107:J108)</f>
        <v>87.406509488094997</v>
      </c>
      <c r="J109" s="239"/>
    </row>
    <row r="110" spans="1:10">
      <c r="A110" s="235"/>
      <c r="B110" s="235"/>
      <c r="C110" s="235"/>
      <c r="D110" s="235"/>
      <c r="E110" s="235"/>
      <c r="F110" s="235"/>
      <c r="G110" s="235"/>
      <c r="H110" s="235"/>
      <c r="I110" s="235"/>
      <c r="J110" s="235"/>
    </row>
    <row r="111" spans="1:10">
      <c r="A111" s="209" t="s">
        <v>110</v>
      </c>
      <c r="B111" s="209"/>
      <c r="C111" s="209"/>
      <c r="D111" s="209"/>
      <c r="E111" s="209"/>
      <c r="F111" s="209"/>
      <c r="G111" s="209"/>
      <c r="H111" s="209"/>
      <c r="I111" s="209"/>
      <c r="J111" s="209"/>
    </row>
    <row r="112" spans="1:10">
      <c r="A112" s="24">
        <v>5</v>
      </c>
      <c r="B112" s="210" t="s">
        <v>111</v>
      </c>
      <c r="C112" s="210"/>
      <c r="D112" s="210"/>
      <c r="E112" s="210"/>
      <c r="F112" s="210"/>
      <c r="G112" s="210"/>
      <c r="H112" s="210"/>
      <c r="I112" s="222" t="s">
        <v>36</v>
      </c>
      <c r="J112" s="222"/>
    </row>
    <row r="113" spans="1:10">
      <c r="A113" s="25" t="s">
        <v>4</v>
      </c>
      <c r="B113" s="233" t="s">
        <v>112</v>
      </c>
      <c r="C113" s="233"/>
      <c r="D113" s="233"/>
      <c r="E113" s="233"/>
      <c r="F113" s="233"/>
      <c r="G113" s="233"/>
      <c r="H113" s="233"/>
      <c r="I113" s="240">
        <f>uniforme!F21</f>
        <v>104.86916666666666</v>
      </c>
      <c r="J113" s="240"/>
    </row>
    <row r="114" spans="1:10">
      <c r="A114" s="25" t="s">
        <v>6</v>
      </c>
      <c r="B114" s="233" t="s">
        <v>113</v>
      </c>
      <c r="C114" s="233"/>
      <c r="D114" s="233"/>
      <c r="E114" s="233"/>
      <c r="F114" s="233"/>
      <c r="G114" s="233"/>
      <c r="H114" s="233"/>
      <c r="I114" s="234">
        <f>Equipamentos!E29</f>
        <v>252.96995098039218</v>
      </c>
      <c r="J114" s="234"/>
    </row>
    <row r="115" spans="1:10">
      <c r="A115" s="25" t="s">
        <v>9</v>
      </c>
      <c r="B115" s="233" t="s">
        <v>114</v>
      </c>
      <c r="C115" s="233"/>
      <c r="D115" s="233"/>
      <c r="E115" s="233"/>
      <c r="F115" s="233"/>
      <c r="G115" s="233"/>
      <c r="H115" s="233"/>
      <c r="I115" s="234">
        <f>material2!F59</f>
        <v>658.36857843137227</v>
      </c>
      <c r="J115" s="234"/>
    </row>
    <row r="116" spans="1:10">
      <c r="A116" s="25" t="s">
        <v>12</v>
      </c>
      <c r="B116" s="241" t="s">
        <v>115</v>
      </c>
      <c r="C116" s="241"/>
      <c r="D116" s="241"/>
      <c r="E116" s="241"/>
      <c r="F116" s="241"/>
      <c r="G116" s="241"/>
      <c r="H116" s="55"/>
      <c r="I116" s="240">
        <f>'KIT PRIMEIROS SOCORROS'!G2</f>
        <v>0.48338383838383836</v>
      </c>
      <c r="J116" s="240"/>
    </row>
    <row r="117" spans="1:10">
      <c r="A117" s="25" t="s">
        <v>15</v>
      </c>
      <c r="B117" s="241"/>
      <c r="C117" s="241"/>
      <c r="D117" s="241"/>
      <c r="E117" s="241"/>
      <c r="F117" s="241"/>
      <c r="G117" s="241"/>
      <c r="H117" s="55"/>
      <c r="I117" s="240"/>
      <c r="J117" s="240"/>
    </row>
    <row r="118" spans="1:10">
      <c r="A118" s="231" t="s">
        <v>68</v>
      </c>
      <c r="B118" s="231"/>
      <c r="C118" s="231"/>
      <c r="D118" s="231"/>
      <c r="E118" s="231"/>
      <c r="F118" s="231"/>
      <c r="G118" s="231"/>
      <c r="H118" s="231"/>
      <c r="I118" s="242">
        <f>SUM(I113:J117)</f>
        <v>1016.6910799168149</v>
      </c>
      <c r="J118" s="242"/>
    </row>
    <row r="119" spans="1:10">
      <c r="A119" s="243"/>
      <c r="B119" s="243"/>
      <c r="C119" s="243"/>
      <c r="D119" s="243"/>
      <c r="E119" s="243"/>
      <c r="F119" s="243"/>
      <c r="G119" s="243"/>
      <c r="H119" s="243"/>
      <c r="I119" s="243"/>
      <c r="J119" s="243"/>
    </row>
    <row r="120" spans="1:10">
      <c r="A120" s="209" t="s">
        <v>116</v>
      </c>
      <c r="B120" s="209"/>
      <c r="C120" s="209"/>
      <c r="D120" s="209"/>
      <c r="E120" s="209"/>
      <c r="F120" s="209"/>
      <c r="G120" s="209"/>
      <c r="H120" s="209"/>
      <c r="I120" s="209"/>
      <c r="J120" s="209"/>
    </row>
    <row r="121" spans="1:10">
      <c r="A121" s="45">
        <v>6</v>
      </c>
      <c r="B121" s="238" t="s">
        <v>117</v>
      </c>
      <c r="C121" s="238"/>
      <c r="D121" s="238"/>
      <c r="E121" s="238"/>
      <c r="F121" s="238"/>
      <c r="G121" s="238"/>
      <c r="H121" s="238"/>
      <c r="I121" s="45" t="s">
        <v>52</v>
      </c>
      <c r="J121" s="45" t="s">
        <v>36</v>
      </c>
    </row>
    <row r="122" spans="1:10">
      <c r="A122" s="25" t="s">
        <v>4</v>
      </c>
      <c r="B122" s="233" t="s">
        <v>118</v>
      </c>
      <c r="C122" s="233"/>
      <c r="D122" s="233"/>
      <c r="E122" s="233"/>
      <c r="F122" s="233"/>
      <c r="G122" s="233"/>
      <c r="H122" s="233"/>
      <c r="I122" s="57">
        <v>0.05</v>
      </c>
      <c r="J122" s="46">
        <f>I138*I122</f>
        <v>298.06489865274551</v>
      </c>
    </row>
    <row r="123" spans="1:10">
      <c r="A123" s="25" t="s">
        <v>6</v>
      </c>
      <c r="B123" s="233" t="s">
        <v>119</v>
      </c>
      <c r="C123" s="233"/>
      <c r="D123" s="233"/>
      <c r="E123" s="233"/>
      <c r="F123" s="233"/>
      <c r="G123" s="233"/>
      <c r="H123" s="233"/>
      <c r="I123" s="57">
        <v>0.1</v>
      </c>
      <c r="J123" s="46">
        <f>(J122+I138)*I123</f>
        <v>625.9362871707657</v>
      </c>
    </row>
    <row r="124" spans="1:10">
      <c r="A124" s="25" t="s">
        <v>9</v>
      </c>
      <c r="B124" s="233" t="s">
        <v>120</v>
      </c>
      <c r="C124" s="233"/>
      <c r="D124" s="233"/>
      <c r="E124" s="233"/>
      <c r="F124" s="233"/>
      <c r="G124" s="233"/>
      <c r="H124" s="233"/>
      <c r="I124" s="57">
        <f>I125+I126+I127</f>
        <v>8.6499999999999994E-2</v>
      </c>
      <c r="J124" s="46"/>
    </row>
    <row r="125" spans="1:10">
      <c r="A125" s="244" t="s">
        <v>121</v>
      </c>
      <c r="B125" s="244"/>
      <c r="C125" s="216" t="s">
        <v>122</v>
      </c>
      <c r="D125" s="26" t="s">
        <v>123</v>
      </c>
      <c r="E125" s="245" t="s">
        <v>341</v>
      </c>
      <c r="F125" s="245"/>
      <c r="G125" s="245"/>
      <c r="H125" s="245"/>
      <c r="I125" s="57">
        <v>6.4999999999999997E-3</v>
      </c>
      <c r="J125" s="46">
        <f>I125*$I$140</f>
        <v>48.992276445221393</v>
      </c>
    </row>
    <row r="126" spans="1:10">
      <c r="A126" s="244" t="s">
        <v>124</v>
      </c>
      <c r="B126" s="244"/>
      <c r="C126" s="216"/>
      <c r="D126" s="26" t="s">
        <v>125</v>
      </c>
      <c r="E126" s="245"/>
      <c r="F126" s="245"/>
      <c r="G126" s="245"/>
      <c r="H126" s="245"/>
      <c r="I126" s="58">
        <v>0.03</v>
      </c>
      <c r="J126" s="46">
        <f>I126*$I$140</f>
        <v>226.1181989779449</v>
      </c>
    </row>
    <row r="127" spans="1:10">
      <c r="A127" s="244" t="s">
        <v>126</v>
      </c>
      <c r="B127" s="244"/>
      <c r="C127" s="59" t="s">
        <v>127</v>
      </c>
      <c r="D127" s="26" t="s">
        <v>128</v>
      </c>
      <c r="E127" s="27"/>
      <c r="F127" s="27"/>
      <c r="G127" s="60"/>
      <c r="H127" s="60"/>
      <c r="I127" s="57">
        <v>0.05</v>
      </c>
      <c r="J127" s="46">
        <f>I127*$I$140</f>
        <v>376.86366496324149</v>
      </c>
    </row>
    <row r="128" spans="1:10">
      <c r="A128" s="232" t="s">
        <v>68</v>
      </c>
      <c r="B128" s="232"/>
      <c r="C128" s="232"/>
      <c r="D128" s="232"/>
      <c r="E128" s="232"/>
      <c r="F128" s="232"/>
      <c r="G128" s="232"/>
      <c r="H128" s="45"/>
      <c r="I128" s="61"/>
      <c r="J128" s="56">
        <f>SUM(J122:J127)</f>
        <v>1575.9753262099189</v>
      </c>
    </row>
    <row r="129" spans="1:10" ht="28.35" customHeight="1">
      <c r="A129" s="246" t="s">
        <v>129</v>
      </c>
      <c r="B129" s="246"/>
      <c r="C129" s="246"/>
      <c r="D129" s="246"/>
      <c r="E129" s="246"/>
      <c r="F129" s="246"/>
      <c r="G129" s="246"/>
      <c r="H129" s="246"/>
      <c r="I129" s="246"/>
      <c r="J129" s="246"/>
    </row>
    <row r="130" spans="1:10">
      <c r="A130" s="247" t="s">
        <v>130</v>
      </c>
      <c r="B130" s="247"/>
      <c r="C130" s="247"/>
      <c r="D130" s="247"/>
      <c r="E130" s="247"/>
      <c r="F130" s="247"/>
      <c r="G130" s="247"/>
      <c r="H130" s="247"/>
      <c r="I130" s="247"/>
      <c r="J130" s="247"/>
    </row>
    <row r="131" spans="1:10">
      <c r="A131" s="248"/>
      <c r="B131" s="248"/>
      <c r="C131" s="248"/>
      <c r="D131" s="248"/>
      <c r="E131" s="248"/>
      <c r="F131" s="248"/>
      <c r="G131" s="248"/>
      <c r="H131" s="248"/>
      <c r="I131" s="248"/>
      <c r="J131" s="248"/>
    </row>
    <row r="132" spans="1:10">
      <c r="A132" s="231" t="s">
        <v>131</v>
      </c>
      <c r="B132" s="231"/>
      <c r="C132" s="231"/>
      <c r="D132" s="231"/>
      <c r="E132" s="231"/>
      <c r="F132" s="231"/>
      <c r="G132" s="231"/>
      <c r="H132" s="231"/>
      <c r="I132" s="249" t="s">
        <v>36</v>
      </c>
      <c r="J132" s="249"/>
    </row>
    <row r="133" spans="1:10">
      <c r="A133" s="25" t="s">
        <v>4</v>
      </c>
      <c r="B133" s="233" t="s">
        <v>132</v>
      </c>
      <c r="C133" s="233"/>
      <c r="D133" s="233"/>
      <c r="E133" s="233"/>
      <c r="F133" s="233"/>
      <c r="G133" s="233"/>
      <c r="H133" s="233"/>
      <c r="I133" s="234">
        <f>I38</f>
        <v>2493.65</v>
      </c>
      <c r="J133" s="234"/>
    </row>
    <row r="134" spans="1:10">
      <c r="A134" s="25" t="s">
        <v>6</v>
      </c>
      <c r="B134" s="233" t="s">
        <v>133</v>
      </c>
      <c r="C134" s="233"/>
      <c r="D134" s="233"/>
      <c r="E134" s="233"/>
      <c r="F134" s="233"/>
      <c r="G134" s="233"/>
      <c r="H134" s="233"/>
      <c r="I134" s="234">
        <f>I76</f>
        <v>2186.3191972</v>
      </c>
      <c r="J134" s="234"/>
    </row>
    <row r="135" spans="1:10">
      <c r="A135" s="25" t="s">
        <v>9</v>
      </c>
      <c r="B135" s="233" t="s">
        <v>134</v>
      </c>
      <c r="C135" s="233"/>
      <c r="D135" s="233"/>
      <c r="E135" s="233"/>
      <c r="F135" s="233"/>
      <c r="G135" s="233"/>
      <c r="H135" s="233"/>
      <c r="I135" s="234">
        <f>I86</f>
        <v>177.23118645</v>
      </c>
      <c r="J135" s="234"/>
    </row>
    <row r="136" spans="1:10">
      <c r="A136" s="25" t="s">
        <v>12</v>
      </c>
      <c r="B136" s="233" t="s">
        <v>135</v>
      </c>
      <c r="C136" s="233"/>
      <c r="D136" s="233"/>
      <c r="E136" s="233"/>
      <c r="F136" s="233"/>
      <c r="G136" s="233"/>
      <c r="H136" s="233"/>
      <c r="I136" s="234">
        <f>I109</f>
        <v>87.406509488094997</v>
      </c>
      <c r="J136" s="234"/>
    </row>
    <row r="137" spans="1:10">
      <c r="A137" s="25" t="s">
        <v>15</v>
      </c>
      <c r="B137" s="233" t="s">
        <v>136</v>
      </c>
      <c r="C137" s="233"/>
      <c r="D137" s="233"/>
      <c r="E137" s="233"/>
      <c r="F137" s="233"/>
      <c r="G137" s="233"/>
      <c r="H137" s="233"/>
      <c r="I137" s="234">
        <f>I118</f>
        <v>1016.6910799168149</v>
      </c>
      <c r="J137" s="234"/>
    </row>
    <row r="138" spans="1:10">
      <c r="A138" s="231" t="s">
        <v>137</v>
      </c>
      <c r="B138" s="231"/>
      <c r="C138" s="231"/>
      <c r="D138" s="231"/>
      <c r="E138" s="231"/>
      <c r="F138" s="231"/>
      <c r="G138" s="231"/>
      <c r="H138" s="231"/>
      <c r="I138" s="242">
        <f>SUM(I133:J137)</f>
        <v>5961.2979730549105</v>
      </c>
      <c r="J138" s="242"/>
    </row>
    <row r="139" spans="1:10">
      <c r="A139" s="25" t="s">
        <v>43</v>
      </c>
      <c r="B139" s="233" t="s">
        <v>138</v>
      </c>
      <c r="C139" s="233"/>
      <c r="D139" s="233"/>
      <c r="E139" s="233"/>
      <c r="F139" s="233"/>
      <c r="G139" s="233"/>
      <c r="H139" s="233"/>
      <c r="I139" s="234">
        <f>J128</f>
        <v>1575.9753262099189</v>
      </c>
      <c r="J139" s="234"/>
    </row>
    <row r="140" spans="1:10">
      <c r="A140" s="231" t="s">
        <v>139</v>
      </c>
      <c r="B140" s="231"/>
      <c r="C140" s="231"/>
      <c r="D140" s="231"/>
      <c r="E140" s="231"/>
      <c r="F140" s="231"/>
      <c r="G140" s="231"/>
      <c r="H140" s="231"/>
      <c r="I140" s="242">
        <f>(I138+J122+J123)/(1-I124)</f>
        <v>7537.2732992648298</v>
      </c>
      <c r="J140" s="242"/>
    </row>
    <row r="141" spans="1:10">
      <c r="A141" s="250"/>
      <c r="B141" s="250"/>
      <c r="C141" s="250"/>
      <c r="D141" s="250"/>
      <c r="E141" s="250"/>
      <c r="F141" s="250"/>
      <c r="G141" s="250"/>
      <c r="H141" s="250"/>
      <c r="I141" s="250"/>
      <c r="J141" s="250"/>
    </row>
  </sheetData>
  <mergeCells count="195">
    <mergeCell ref="B139:H139"/>
    <mergeCell ref="I139:J139"/>
    <mergeCell ref="A140:H140"/>
    <mergeCell ref="I140:J140"/>
    <mergeCell ref="A141:J141"/>
    <mergeCell ref="B134:H134"/>
    <mergeCell ref="I134:J134"/>
    <mergeCell ref="B135:H135"/>
    <mergeCell ref="I135:J135"/>
    <mergeCell ref="B136:H136"/>
    <mergeCell ref="I136:J136"/>
    <mergeCell ref="B137:H137"/>
    <mergeCell ref="I137:J137"/>
    <mergeCell ref="A138:H138"/>
    <mergeCell ref="I138:J138"/>
    <mergeCell ref="A127:B127"/>
    <mergeCell ref="A128:G128"/>
    <mergeCell ref="A129:J129"/>
    <mergeCell ref="A130:J130"/>
    <mergeCell ref="A131:J131"/>
    <mergeCell ref="A132:H132"/>
    <mergeCell ref="I132:J132"/>
    <mergeCell ref="B133:H133"/>
    <mergeCell ref="I133:J133"/>
    <mergeCell ref="A119:J119"/>
    <mergeCell ref="A120:J120"/>
    <mergeCell ref="B121:H121"/>
    <mergeCell ref="B122:H122"/>
    <mergeCell ref="B123:H123"/>
    <mergeCell ref="B124:H124"/>
    <mergeCell ref="A125:B125"/>
    <mergeCell ref="C125:C126"/>
    <mergeCell ref="E125:H126"/>
    <mergeCell ref="A126:B126"/>
    <mergeCell ref="B114:H114"/>
    <mergeCell ref="I114:J114"/>
    <mergeCell ref="B115:H115"/>
    <mergeCell ref="I115:J115"/>
    <mergeCell ref="B116:G116"/>
    <mergeCell ref="I116:J116"/>
    <mergeCell ref="B117:G117"/>
    <mergeCell ref="I117:J117"/>
    <mergeCell ref="A118:H118"/>
    <mergeCell ref="I118:J118"/>
    <mergeCell ref="B108:H108"/>
    <mergeCell ref="I108:J108"/>
    <mergeCell ref="A109:H109"/>
    <mergeCell ref="I109:J109"/>
    <mergeCell ref="A110:J110"/>
    <mergeCell ref="A111:J111"/>
    <mergeCell ref="B112:H112"/>
    <mergeCell ref="I112:J112"/>
    <mergeCell ref="B113:H113"/>
    <mergeCell ref="I113:J113"/>
    <mergeCell ref="A102:H102"/>
    <mergeCell ref="I102:J102"/>
    <mergeCell ref="A103:J103"/>
    <mergeCell ref="A104:J104"/>
    <mergeCell ref="A105:J105"/>
    <mergeCell ref="B106:H106"/>
    <mergeCell ref="I106:J106"/>
    <mergeCell ref="B107:H107"/>
    <mergeCell ref="I107:J107"/>
    <mergeCell ref="B93:H93"/>
    <mergeCell ref="B94:H94"/>
    <mergeCell ref="B95:H95"/>
    <mergeCell ref="B96:H96"/>
    <mergeCell ref="A97:H97"/>
    <mergeCell ref="A98:J98"/>
    <mergeCell ref="A99:J99"/>
    <mergeCell ref="B100:H100"/>
    <mergeCell ref="B101:H101"/>
    <mergeCell ref="B84:H84"/>
    <mergeCell ref="B85:H85"/>
    <mergeCell ref="A86:H86"/>
    <mergeCell ref="I86:J86"/>
    <mergeCell ref="A87:J87"/>
    <mergeCell ref="A88:J88"/>
    <mergeCell ref="B90:H90"/>
    <mergeCell ref="B91:H91"/>
    <mergeCell ref="B92:H92"/>
    <mergeCell ref="A76:H76"/>
    <mergeCell ref="I76:J76"/>
    <mergeCell ref="A77:J77"/>
    <mergeCell ref="A78:J78"/>
    <mergeCell ref="B79:H79"/>
    <mergeCell ref="B80:H80"/>
    <mergeCell ref="B81:H81"/>
    <mergeCell ref="B82:H82"/>
    <mergeCell ref="B83:H83"/>
    <mergeCell ref="A70:J70"/>
    <mergeCell ref="A71:J71"/>
    <mergeCell ref="B72:H72"/>
    <mergeCell ref="I72:J72"/>
    <mergeCell ref="B73:H73"/>
    <mergeCell ref="I73:J73"/>
    <mergeCell ref="B74:H74"/>
    <mergeCell ref="I74:J74"/>
    <mergeCell ref="B75:H75"/>
    <mergeCell ref="I75:J75"/>
    <mergeCell ref="B65:H65"/>
    <mergeCell ref="I65:J65"/>
    <mergeCell ref="B66:H66"/>
    <mergeCell ref="I66:J66"/>
    <mergeCell ref="B67:H67"/>
    <mergeCell ref="I67:J67"/>
    <mergeCell ref="A68:H68"/>
    <mergeCell ref="I68:J68"/>
    <mergeCell ref="A69:J69"/>
    <mergeCell ref="A57:G57"/>
    <mergeCell ref="A58:J58"/>
    <mergeCell ref="A59:J59"/>
    <mergeCell ref="B60:G60"/>
    <mergeCell ref="I60:J60"/>
    <mergeCell ref="A61:A62"/>
    <mergeCell ref="B61:C62"/>
    <mergeCell ref="I61:J62"/>
    <mergeCell ref="A63:A64"/>
    <mergeCell ref="B63:D64"/>
    <mergeCell ref="I63:J64"/>
    <mergeCell ref="A47:J47"/>
    <mergeCell ref="B48:H48"/>
    <mergeCell ref="B49:H49"/>
    <mergeCell ref="B50:H50"/>
    <mergeCell ref="B52:H52"/>
    <mergeCell ref="B53:H53"/>
    <mergeCell ref="B54:H54"/>
    <mergeCell ref="B55:H55"/>
    <mergeCell ref="B56:H56"/>
    <mergeCell ref="A39:J39"/>
    <mergeCell ref="A40:J40"/>
    <mergeCell ref="A41:J41"/>
    <mergeCell ref="B42:H42"/>
    <mergeCell ref="B43:H43"/>
    <mergeCell ref="B44:H44"/>
    <mergeCell ref="A45:H45"/>
    <mergeCell ref="I45:J45"/>
    <mergeCell ref="A46:J46"/>
    <mergeCell ref="B34:H34"/>
    <mergeCell ref="I34:J34"/>
    <mergeCell ref="B35:H35"/>
    <mergeCell ref="I35:J35"/>
    <mergeCell ref="B36:H36"/>
    <mergeCell ref="I36:J36"/>
    <mergeCell ref="B37:H37"/>
    <mergeCell ref="I37:J37"/>
    <mergeCell ref="A38:H38"/>
    <mergeCell ref="I38:J38"/>
    <mergeCell ref="A28:J28"/>
    <mergeCell ref="A29:J29"/>
    <mergeCell ref="B30:H30"/>
    <mergeCell ref="I30:J30"/>
    <mergeCell ref="B31:H31"/>
    <mergeCell ref="I31:J31"/>
    <mergeCell ref="G32:H32"/>
    <mergeCell ref="I32:J32"/>
    <mergeCell ref="G33:H33"/>
    <mergeCell ref="I33:J33"/>
    <mergeCell ref="B23:H23"/>
    <mergeCell ref="I23:J23"/>
    <mergeCell ref="B24:H24"/>
    <mergeCell ref="I24:J24"/>
    <mergeCell ref="B25:H25"/>
    <mergeCell ref="I25:J25"/>
    <mergeCell ref="B26:H26"/>
    <mergeCell ref="I26:J26"/>
    <mergeCell ref="B27:H27"/>
    <mergeCell ref="I27:J27"/>
    <mergeCell ref="B16:H16"/>
    <mergeCell ref="I16:J16"/>
    <mergeCell ref="B17:H17"/>
    <mergeCell ref="I17:J17"/>
    <mergeCell ref="A18:J18"/>
    <mergeCell ref="A19:J19"/>
    <mergeCell ref="A20:J20"/>
    <mergeCell ref="A21:J21"/>
    <mergeCell ref="A22:J22"/>
    <mergeCell ref="B10:F10"/>
    <mergeCell ref="G10:J10"/>
    <mergeCell ref="B11:F11"/>
    <mergeCell ref="G11:J11"/>
    <mergeCell ref="G12:J12"/>
    <mergeCell ref="A13:J13"/>
    <mergeCell ref="A14:J14"/>
    <mergeCell ref="B15:H15"/>
    <mergeCell ref="I15:J15"/>
    <mergeCell ref="A1:J1"/>
    <mergeCell ref="E2:I2"/>
    <mergeCell ref="A5:J5"/>
    <mergeCell ref="A6:J6"/>
    <mergeCell ref="A7:J7"/>
    <mergeCell ref="B8:F8"/>
    <mergeCell ref="G8:J8"/>
    <mergeCell ref="B9:F9"/>
    <mergeCell ref="G9:J9"/>
  </mergeCells>
  <pageMargins left="0.51180555555555596" right="0.51180555555555596" top="0.78749999999999998" bottom="0.78749999999999998" header="0.511811023622047" footer="0.511811023622047"/>
  <pageSetup paperSize="9" scale="64" orientation="portrait" horizontalDpi="300" verticalDpi="300"/>
  <rowBreaks count="2" manualBreakCount="2">
    <brk id="76" max="16383" man="1"/>
    <brk id="1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1"/>
  <sheetViews>
    <sheetView topLeftCell="A133" zoomScaleNormal="100" workbookViewId="0">
      <selection activeCell="C144" sqref="C144"/>
    </sheetView>
  </sheetViews>
  <sheetFormatPr defaultColWidth="8.7109375" defaultRowHeight="15"/>
  <cols>
    <col min="2" max="2" width="10.140625" customWidth="1"/>
    <col min="3" max="3" width="15.140625" customWidth="1"/>
    <col min="6" max="6" width="10.42578125" customWidth="1"/>
    <col min="10" max="10" width="18.42578125" customWidth="1"/>
  </cols>
  <sheetData>
    <row r="1" spans="1:10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>
      <c r="A2" s="3"/>
      <c r="B2" s="4" t="s">
        <v>338</v>
      </c>
      <c r="C2" s="5"/>
      <c r="D2" s="6"/>
      <c r="E2" s="187"/>
      <c r="F2" s="187"/>
      <c r="G2" s="187"/>
      <c r="H2" s="187"/>
      <c r="I2" s="187"/>
      <c r="J2" s="7"/>
    </row>
    <row r="3" spans="1:10">
      <c r="A3" s="3"/>
      <c r="B3" s="6" t="s">
        <v>339</v>
      </c>
      <c r="C3" s="6"/>
      <c r="D3" s="8" t="s">
        <v>1</v>
      </c>
      <c r="E3" s="9"/>
      <c r="F3" s="9"/>
      <c r="G3" s="6"/>
      <c r="H3" s="6"/>
      <c r="I3" s="6"/>
      <c r="J3" s="7"/>
    </row>
    <row r="4" spans="1:10">
      <c r="A4" s="10"/>
      <c r="B4" s="11" t="s">
        <v>340</v>
      </c>
      <c r="C4" s="12"/>
      <c r="D4" s="13" t="s">
        <v>2</v>
      </c>
      <c r="E4" s="14"/>
      <c r="F4" s="15"/>
      <c r="G4" s="15"/>
      <c r="H4" s="15"/>
      <c r="I4" s="15"/>
      <c r="J4" s="16"/>
    </row>
    <row r="5" spans="1:10">
      <c r="A5" s="188"/>
      <c r="B5" s="188"/>
      <c r="C5" s="188"/>
      <c r="D5" s="188"/>
      <c r="E5" s="188"/>
      <c r="F5" s="188"/>
      <c r="G5" s="188"/>
      <c r="H5" s="188"/>
      <c r="I5" s="188"/>
      <c r="J5" s="188"/>
    </row>
    <row r="6" spans="1:10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</row>
    <row r="7" spans="1:10">
      <c r="A7" s="190"/>
      <c r="B7" s="190"/>
      <c r="C7" s="190"/>
      <c r="D7" s="190"/>
      <c r="E7" s="190"/>
      <c r="F7" s="190"/>
      <c r="G7" s="190"/>
      <c r="H7" s="190"/>
      <c r="I7" s="190"/>
      <c r="J7" s="190"/>
    </row>
    <row r="8" spans="1:10">
      <c r="A8" s="1" t="s">
        <v>4</v>
      </c>
      <c r="B8" s="191" t="s">
        <v>5</v>
      </c>
      <c r="C8" s="191"/>
      <c r="D8" s="191"/>
      <c r="E8" s="191"/>
      <c r="F8" s="191"/>
      <c r="G8" s="192"/>
      <c r="H8" s="192"/>
      <c r="I8" s="192"/>
      <c r="J8" s="192"/>
    </row>
    <row r="9" spans="1:10">
      <c r="A9" s="1" t="s">
        <v>6</v>
      </c>
      <c r="B9" s="191" t="s">
        <v>7</v>
      </c>
      <c r="C9" s="191"/>
      <c r="D9" s="191"/>
      <c r="E9" s="191"/>
      <c r="F9" s="191"/>
      <c r="G9" s="193" t="s">
        <v>8</v>
      </c>
      <c r="H9" s="193"/>
      <c r="I9" s="193"/>
      <c r="J9" s="193"/>
    </row>
    <row r="10" spans="1:10" ht="20.85" customHeight="1">
      <c r="A10" s="17" t="s">
        <v>9</v>
      </c>
      <c r="B10" s="194" t="s">
        <v>10</v>
      </c>
      <c r="C10" s="194"/>
      <c r="D10" s="194"/>
      <c r="E10" s="194"/>
      <c r="F10" s="194"/>
      <c r="G10" s="195" t="s">
        <v>11</v>
      </c>
      <c r="H10" s="195"/>
      <c r="I10" s="195"/>
      <c r="J10" s="195"/>
    </row>
    <row r="11" spans="1:10" ht="20.85" customHeight="1">
      <c r="A11" s="18" t="s">
        <v>12</v>
      </c>
      <c r="B11" s="194" t="s">
        <v>13</v>
      </c>
      <c r="C11" s="194"/>
      <c r="D11" s="194"/>
      <c r="E11" s="194"/>
      <c r="F11" s="194"/>
      <c r="G11" s="196" t="s">
        <v>14</v>
      </c>
      <c r="H11" s="196"/>
      <c r="I11" s="196"/>
      <c r="J11" s="196"/>
    </row>
    <row r="12" spans="1:10">
      <c r="A12" s="1" t="s">
        <v>15</v>
      </c>
      <c r="B12" s="19" t="s">
        <v>16</v>
      </c>
      <c r="C12" s="20"/>
      <c r="D12" s="20"/>
      <c r="E12" s="20"/>
      <c r="F12" s="20"/>
      <c r="G12" s="197">
        <v>12</v>
      </c>
      <c r="H12" s="197"/>
      <c r="I12" s="197"/>
      <c r="J12" s="197"/>
    </row>
    <row r="13" spans="1:10">
      <c r="A13" s="198"/>
      <c r="B13" s="198"/>
      <c r="C13" s="198"/>
      <c r="D13" s="198"/>
      <c r="E13" s="198"/>
      <c r="F13" s="198"/>
      <c r="G13" s="198"/>
      <c r="H13" s="198"/>
      <c r="I13" s="198"/>
      <c r="J13" s="198"/>
    </row>
    <row r="14" spans="1:10">
      <c r="A14" s="199" t="s">
        <v>17</v>
      </c>
      <c r="B14" s="199"/>
      <c r="C14" s="199"/>
      <c r="D14" s="199"/>
      <c r="E14" s="199"/>
      <c r="F14" s="199"/>
      <c r="G14" s="199"/>
      <c r="H14" s="199"/>
      <c r="I14" s="199"/>
      <c r="J14" s="199"/>
    </row>
    <row r="15" spans="1:10">
      <c r="A15" s="1">
        <v>1</v>
      </c>
      <c r="B15" s="200" t="s">
        <v>18</v>
      </c>
      <c r="C15" s="200"/>
      <c r="D15" s="200"/>
      <c r="E15" s="200"/>
      <c r="F15" s="200"/>
      <c r="G15" s="200"/>
      <c r="H15" s="200"/>
      <c r="I15" s="197" t="s">
        <v>19</v>
      </c>
      <c r="J15" s="197"/>
    </row>
    <row r="16" spans="1:10">
      <c r="A16" s="1">
        <v>2</v>
      </c>
      <c r="B16" s="200" t="s">
        <v>20</v>
      </c>
      <c r="C16" s="200"/>
      <c r="D16" s="200"/>
      <c r="E16" s="200"/>
      <c r="F16" s="200"/>
      <c r="G16" s="200"/>
      <c r="H16" s="200"/>
      <c r="I16" s="197">
        <v>3</v>
      </c>
      <c r="J16" s="197"/>
    </row>
    <row r="17" spans="1:10">
      <c r="A17" s="1">
        <v>3</v>
      </c>
      <c r="B17" s="200" t="s">
        <v>21</v>
      </c>
      <c r="C17" s="200"/>
      <c r="D17" s="200"/>
      <c r="E17" s="200"/>
      <c r="F17" s="200"/>
      <c r="G17" s="200"/>
      <c r="H17" s="200"/>
      <c r="I17" s="186" t="s">
        <v>140</v>
      </c>
      <c r="J17" s="186"/>
    </row>
    <row r="18" spans="1:10">
      <c r="A18" s="198"/>
      <c r="B18" s="198"/>
      <c r="C18" s="198"/>
      <c r="D18" s="198"/>
      <c r="E18" s="198"/>
      <c r="F18" s="198"/>
      <c r="G18" s="198"/>
      <c r="H18" s="198"/>
      <c r="I18" s="198"/>
      <c r="J18" s="198"/>
    </row>
    <row r="19" spans="1:10">
      <c r="A19" s="199" t="s">
        <v>23</v>
      </c>
      <c r="B19" s="199"/>
      <c r="C19" s="199"/>
      <c r="D19" s="199"/>
      <c r="E19" s="199"/>
      <c r="F19" s="199"/>
      <c r="G19" s="199"/>
      <c r="H19" s="199"/>
      <c r="I19" s="199"/>
      <c r="J19" s="199"/>
    </row>
    <row r="20" spans="1:10">
      <c r="A20" s="198"/>
      <c r="B20" s="198"/>
      <c r="C20" s="198"/>
      <c r="D20" s="198"/>
      <c r="E20" s="198"/>
      <c r="F20" s="198"/>
      <c r="G20" s="198"/>
      <c r="H20" s="198"/>
      <c r="I20" s="198"/>
      <c r="J20" s="198"/>
    </row>
    <row r="21" spans="1:10">
      <c r="A21" s="201" t="s">
        <v>24</v>
      </c>
      <c r="B21" s="201"/>
      <c r="C21" s="201"/>
      <c r="D21" s="201"/>
      <c r="E21" s="201"/>
      <c r="F21" s="201"/>
      <c r="G21" s="201"/>
      <c r="H21" s="201"/>
      <c r="I21" s="201"/>
      <c r="J21" s="201"/>
    </row>
    <row r="22" spans="1:10">
      <c r="A22" s="202" t="s">
        <v>25</v>
      </c>
      <c r="B22" s="202"/>
      <c r="C22" s="202"/>
      <c r="D22" s="202"/>
      <c r="E22" s="202"/>
      <c r="F22" s="202"/>
      <c r="G22" s="202"/>
      <c r="H22" s="202"/>
      <c r="I22" s="202"/>
      <c r="J22" s="202"/>
    </row>
    <row r="23" spans="1:10" ht="38.25" customHeight="1">
      <c r="A23" s="21">
        <v>1</v>
      </c>
      <c r="B23" s="203" t="s">
        <v>26</v>
      </c>
      <c r="C23" s="203"/>
      <c r="D23" s="203"/>
      <c r="E23" s="203"/>
      <c r="F23" s="203"/>
      <c r="G23" s="203"/>
      <c r="H23" s="203"/>
      <c r="I23" s="204" t="s">
        <v>27</v>
      </c>
      <c r="J23" s="204"/>
    </row>
    <row r="24" spans="1:10">
      <c r="A24" s="23">
        <v>2</v>
      </c>
      <c r="B24" s="200" t="s">
        <v>28</v>
      </c>
      <c r="C24" s="200"/>
      <c r="D24" s="200"/>
      <c r="E24" s="200"/>
      <c r="F24" s="200"/>
      <c r="G24" s="200"/>
      <c r="H24" s="200"/>
      <c r="I24" s="196" t="s">
        <v>141</v>
      </c>
      <c r="J24" s="196"/>
    </row>
    <row r="25" spans="1:10">
      <c r="A25" s="23">
        <v>3</v>
      </c>
      <c r="B25" s="200" t="s">
        <v>30</v>
      </c>
      <c r="C25" s="200"/>
      <c r="D25" s="200"/>
      <c r="E25" s="200"/>
      <c r="F25" s="200"/>
      <c r="G25" s="200"/>
      <c r="H25" s="200"/>
      <c r="I25" s="205">
        <v>1610</v>
      </c>
      <c r="J25" s="205"/>
    </row>
    <row r="26" spans="1:10">
      <c r="A26" s="23">
        <v>4</v>
      </c>
      <c r="B26" s="203" t="s">
        <v>31</v>
      </c>
      <c r="C26" s="203"/>
      <c r="D26" s="203"/>
      <c r="E26" s="203"/>
      <c r="F26" s="203"/>
      <c r="G26" s="203"/>
      <c r="H26" s="203"/>
      <c r="I26" s="251" t="s">
        <v>22</v>
      </c>
      <c r="J26" s="251"/>
    </row>
    <row r="27" spans="1:10">
      <c r="A27" s="23">
        <v>5</v>
      </c>
      <c r="B27" s="203" t="s">
        <v>33</v>
      </c>
      <c r="C27" s="203"/>
      <c r="D27" s="203"/>
      <c r="E27" s="203"/>
      <c r="F27" s="203"/>
      <c r="G27" s="203"/>
      <c r="H27" s="203"/>
      <c r="I27" s="207">
        <v>45352</v>
      </c>
      <c r="J27" s="207"/>
    </row>
    <row r="28" spans="1:10">
      <c r="A28" s="208"/>
      <c r="B28" s="208"/>
      <c r="C28" s="208"/>
      <c r="D28" s="208"/>
      <c r="E28" s="208"/>
      <c r="F28" s="208"/>
      <c r="G28" s="208"/>
      <c r="H28" s="208"/>
      <c r="I28" s="208"/>
      <c r="J28" s="208"/>
    </row>
    <row r="29" spans="1:10">
      <c r="A29" s="209" t="s">
        <v>34</v>
      </c>
      <c r="B29" s="209"/>
      <c r="C29" s="209"/>
      <c r="D29" s="209"/>
      <c r="E29" s="209"/>
      <c r="F29" s="209"/>
      <c r="G29" s="209"/>
      <c r="H29" s="209"/>
      <c r="I29" s="209"/>
      <c r="J29" s="209"/>
    </row>
    <row r="30" spans="1:10">
      <c r="A30" s="24">
        <v>1</v>
      </c>
      <c r="B30" s="210" t="s">
        <v>35</v>
      </c>
      <c r="C30" s="210"/>
      <c r="D30" s="210"/>
      <c r="E30" s="210"/>
      <c r="F30" s="210"/>
      <c r="G30" s="210"/>
      <c r="H30" s="210"/>
      <c r="I30" s="211" t="s">
        <v>36</v>
      </c>
      <c r="J30" s="211"/>
    </row>
    <row r="31" spans="1:10">
      <c r="A31" s="23" t="s">
        <v>4</v>
      </c>
      <c r="B31" s="200" t="s">
        <v>37</v>
      </c>
      <c r="C31" s="200"/>
      <c r="D31" s="200"/>
      <c r="E31" s="200"/>
      <c r="F31" s="200"/>
      <c r="G31" s="200"/>
      <c r="H31" s="200"/>
      <c r="I31" s="212">
        <v>1610</v>
      </c>
      <c r="J31" s="212"/>
    </row>
    <row r="32" spans="1:10">
      <c r="A32" s="25" t="s">
        <v>6</v>
      </c>
      <c r="B32" s="26" t="s">
        <v>38</v>
      </c>
      <c r="C32" s="27"/>
      <c r="D32" s="27"/>
      <c r="E32" s="27"/>
      <c r="F32" s="27"/>
      <c r="G32" s="213" t="s">
        <v>39</v>
      </c>
      <c r="H32" s="213"/>
      <c r="I32" s="252"/>
      <c r="J32" s="252"/>
    </row>
    <row r="33" spans="1:10">
      <c r="A33" s="25" t="s">
        <v>9</v>
      </c>
      <c r="B33" s="26" t="s">
        <v>40</v>
      </c>
      <c r="C33" s="27"/>
      <c r="D33" s="27"/>
      <c r="E33" s="27"/>
      <c r="F33" s="27"/>
      <c r="G33" s="213" t="s">
        <v>39</v>
      </c>
      <c r="H33" s="213"/>
      <c r="I33" s="253"/>
      <c r="J33" s="253"/>
    </row>
    <row r="34" spans="1:10">
      <c r="A34" s="23" t="s">
        <v>12</v>
      </c>
      <c r="B34" s="216" t="s">
        <v>41</v>
      </c>
      <c r="C34" s="216"/>
      <c r="D34" s="216"/>
      <c r="E34" s="216"/>
      <c r="F34" s="216"/>
      <c r="G34" s="216"/>
      <c r="H34" s="216"/>
      <c r="I34" s="252">
        <v>0</v>
      </c>
      <c r="J34" s="252"/>
    </row>
    <row r="35" spans="1:10">
      <c r="A35" s="23" t="s">
        <v>15</v>
      </c>
      <c r="B35" s="216" t="s">
        <v>42</v>
      </c>
      <c r="C35" s="216"/>
      <c r="D35" s="216"/>
      <c r="E35" s="216"/>
      <c r="F35" s="216"/>
      <c r="G35" s="216"/>
      <c r="H35" s="216"/>
      <c r="I35" s="252">
        <v>0</v>
      </c>
      <c r="J35" s="252"/>
    </row>
    <row r="36" spans="1:10">
      <c r="A36" s="1" t="s">
        <v>43</v>
      </c>
      <c r="B36" s="216" t="s">
        <v>44</v>
      </c>
      <c r="C36" s="216"/>
      <c r="D36" s="216"/>
      <c r="E36" s="216"/>
      <c r="F36" s="216"/>
      <c r="G36" s="216"/>
      <c r="H36" s="216"/>
      <c r="I36" s="252">
        <v>0</v>
      </c>
      <c r="J36" s="252"/>
    </row>
    <row r="37" spans="1:10">
      <c r="A37" s="23" t="s">
        <v>45</v>
      </c>
      <c r="B37" s="203" t="s">
        <v>142</v>
      </c>
      <c r="C37" s="203"/>
      <c r="D37" s="203"/>
      <c r="E37" s="203"/>
      <c r="F37" s="203"/>
      <c r="G37" s="203"/>
      <c r="H37" s="203"/>
      <c r="I37" s="217"/>
      <c r="J37" s="217"/>
    </row>
    <row r="38" spans="1:10">
      <c r="A38" s="218" t="s">
        <v>47</v>
      </c>
      <c r="B38" s="218"/>
      <c r="C38" s="218"/>
      <c r="D38" s="218"/>
      <c r="E38" s="218"/>
      <c r="F38" s="218"/>
      <c r="G38" s="218"/>
      <c r="H38" s="218"/>
      <c r="I38" s="219">
        <f>SUM(I31:J37)</f>
        <v>1610</v>
      </c>
      <c r="J38" s="219"/>
    </row>
    <row r="39" spans="1:10">
      <c r="A39" s="208"/>
      <c r="B39" s="208"/>
      <c r="C39" s="208"/>
      <c r="D39" s="208"/>
      <c r="E39" s="208"/>
      <c r="F39" s="208"/>
      <c r="G39" s="208"/>
      <c r="H39" s="208"/>
      <c r="I39" s="208"/>
      <c r="J39" s="208"/>
    </row>
    <row r="40" spans="1:10">
      <c r="A40" s="209" t="s">
        <v>48</v>
      </c>
      <c r="B40" s="209"/>
      <c r="C40" s="209"/>
      <c r="D40" s="209"/>
      <c r="E40" s="209"/>
      <c r="F40" s="209"/>
      <c r="G40" s="209"/>
      <c r="H40" s="209"/>
      <c r="I40" s="209"/>
      <c r="J40" s="209"/>
    </row>
    <row r="41" spans="1:10">
      <c r="A41" s="220" t="s">
        <v>49</v>
      </c>
      <c r="B41" s="220"/>
      <c r="C41" s="220"/>
      <c r="D41" s="220"/>
      <c r="E41" s="220"/>
      <c r="F41" s="220"/>
      <c r="G41" s="220"/>
      <c r="H41" s="220"/>
      <c r="I41" s="220"/>
      <c r="J41" s="220"/>
    </row>
    <row r="42" spans="1:10">
      <c r="A42" s="24" t="s">
        <v>50</v>
      </c>
      <c r="B42" s="210" t="s">
        <v>51</v>
      </c>
      <c r="C42" s="210"/>
      <c r="D42" s="210"/>
      <c r="E42" s="210"/>
      <c r="F42" s="210"/>
      <c r="G42" s="210"/>
      <c r="H42" s="210"/>
      <c r="I42" s="24" t="s">
        <v>52</v>
      </c>
      <c r="J42" s="29" t="s">
        <v>36</v>
      </c>
    </row>
    <row r="43" spans="1:10">
      <c r="A43" s="23" t="s">
        <v>4</v>
      </c>
      <c r="B43" s="203" t="s">
        <v>53</v>
      </c>
      <c r="C43" s="203"/>
      <c r="D43" s="203"/>
      <c r="E43" s="203"/>
      <c r="F43" s="203"/>
      <c r="G43" s="203"/>
      <c r="H43" s="203"/>
      <c r="I43" s="30">
        <f>1/12</f>
        <v>8.3333333333333329E-2</v>
      </c>
      <c r="J43" s="31">
        <f>I43*I38</f>
        <v>134.16666666666666</v>
      </c>
    </row>
    <row r="44" spans="1:10">
      <c r="A44" s="23" t="s">
        <v>6</v>
      </c>
      <c r="B44" s="203" t="s">
        <v>54</v>
      </c>
      <c r="C44" s="203"/>
      <c r="D44" s="203"/>
      <c r="E44" s="203"/>
      <c r="F44" s="203"/>
      <c r="G44" s="203"/>
      <c r="H44" s="203"/>
      <c r="I44" s="32">
        <v>0.121</v>
      </c>
      <c r="J44" s="31">
        <f>I44*I38</f>
        <v>194.81</v>
      </c>
    </row>
    <row r="45" spans="1:10">
      <c r="A45" s="218" t="s">
        <v>55</v>
      </c>
      <c r="B45" s="218"/>
      <c r="C45" s="218"/>
      <c r="D45" s="218"/>
      <c r="E45" s="218"/>
      <c r="F45" s="218"/>
      <c r="G45" s="218"/>
      <c r="H45" s="218"/>
      <c r="I45" s="219">
        <f>SUM(J43:J44)</f>
        <v>328.97666666666669</v>
      </c>
      <c r="J45" s="219"/>
    </row>
    <row r="46" spans="1:10">
      <c r="A46" s="221"/>
      <c r="B46" s="221"/>
      <c r="C46" s="221"/>
      <c r="D46" s="221"/>
      <c r="E46" s="221"/>
      <c r="F46" s="221"/>
      <c r="G46" s="221"/>
      <c r="H46" s="221"/>
      <c r="I46" s="221"/>
      <c r="J46" s="221"/>
    </row>
    <row r="47" spans="1:10">
      <c r="A47" s="220" t="s">
        <v>56</v>
      </c>
      <c r="B47" s="220"/>
      <c r="C47" s="220"/>
      <c r="D47" s="220"/>
      <c r="E47" s="220"/>
      <c r="F47" s="220"/>
      <c r="G47" s="220"/>
      <c r="H47" s="220"/>
      <c r="I47" s="220"/>
      <c r="J47" s="220"/>
    </row>
    <row r="48" spans="1:10">
      <c r="A48" s="24" t="s">
        <v>57</v>
      </c>
      <c r="B48" s="210" t="s">
        <v>58</v>
      </c>
      <c r="C48" s="210"/>
      <c r="D48" s="210"/>
      <c r="E48" s="210"/>
      <c r="F48" s="210"/>
      <c r="G48" s="210"/>
      <c r="H48" s="210"/>
      <c r="I48" s="24" t="s">
        <v>52</v>
      </c>
      <c r="J48" s="29" t="s">
        <v>36</v>
      </c>
    </row>
    <row r="49" spans="1:10">
      <c r="A49" s="23" t="s">
        <v>4</v>
      </c>
      <c r="B49" s="203" t="s">
        <v>59</v>
      </c>
      <c r="C49" s="203"/>
      <c r="D49" s="203"/>
      <c r="E49" s="203"/>
      <c r="F49" s="203"/>
      <c r="G49" s="203"/>
      <c r="H49" s="203"/>
      <c r="I49" s="33">
        <v>0.2</v>
      </c>
      <c r="J49" s="34">
        <f>I49*($I$38+I45)</f>
        <v>387.79533333333336</v>
      </c>
    </row>
    <row r="50" spans="1:10">
      <c r="A50" s="23" t="s">
        <v>6</v>
      </c>
      <c r="B50" s="203" t="s">
        <v>60</v>
      </c>
      <c r="C50" s="203"/>
      <c r="D50" s="203"/>
      <c r="E50" s="203"/>
      <c r="F50" s="203"/>
      <c r="G50" s="203"/>
      <c r="H50" s="203"/>
      <c r="I50" s="33">
        <v>2.5000000000000001E-2</v>
      </c>
      <c r="J50" s="34">
        <f>I50*($I$38+I45)</f>
        <v>48.47441666666667</v>
      </c>
    </row>
    <row r="51" spans="1:10">
      <c r="A51" s="35" t="s">
        <v>9</v>
      </c>
      <c r="B51" s="36" t="s">
        <v>61</v>
      </c>
      <c r="C51" s="37"/>
      <c r="D51" s="37"/>
      <c r="E51" s="37"/>
      <c r="F51" s="37"/>
      <c r="G51" s="38"/>
      <c r="H51" s="38"/>
      <c r="I51" s="39">
        <v>0.03</v>
      </c>
      <c r="J51" s="34">
        <f>I51*($I$38+I45)</f>
        <v>58.1693</v>
      </c>
    </row>
    <row r="52" spans="1:10">
      <c r="A52" s="35" t="s">
        <v>12</v>
      </c>
      <c r="B52" s="203" t="s">
        <v>62</v>
      </c>
      <c r="C52" s="203"/>
      <c r="D52" s="203"/>
      <c r="E52" s="203"/>
      <c r="F52" s="203"/>
      <c r="G52" s="203"/>
      <c r="H52" s="203"/>
      <c r="I52" s="33">
        <v>1.4999999999999999E-2</v>
      </c>
      <c r="J52" s="34">
        <f>I52*($I$38+I45)</f>
        <v>29.08465</v>
      </c>
    </row>
    <row r="53" spans="1:10">
      <c r="A53" s="23" t="s">
        <v>15</v>
      </c>
      <c r="B53" s="203" t="s">
        <v>63</v>
      </c>
      <c r="C53" s="203"/>
      <c r="D53" s="203"/>
      <c r="E53" s="203"/>
      <c r="F53" s="203"/>
      <c r="G53" s="203"/>
      <c r="H53" s="203"/>
      <c r="I53" s="40">
        <v>0.01</v>
      </c>
      <c r="J53" s="34">
        <f>I53*($I$38+I45)</f>
        <v>19.389766666666667</v>
      </c>
    </row>
    <row r="54" spans="1:10">
      <c r="A54" s="23" t="s">
        <v>43</v>
      </c>
      <c r="B54" s="203" t="s">
        <v>64</v>
      </c>
      <c r="C54" s="203"/>
      <c r="D54" s="203"/>
      <c r="E54" s="203"/>
      <c r="F54" s="203"/>
      <c r="G54" s="203"/>
      <c r="H54" s="203"/>
      <c r="I54" s="33">
        <v>6.0000000000000001E-3</v>
      </c>
      <c r="J54" s="34">
        <f>I54*($I$38+I45)</f>
        <v>11.63386</v>
      </c>
    </row>
    <row r="55" spans="1:10">
      <c r="A55" s="23" t="s">
        <v>45</v>
      </c>
      <c r="B55" s="203" t="s">
        <v>65</v>
      </c>
      <c r="C55" s="203"/>
      <c r="D55" s="203"/>
      <c r="E55" s="203"/>
      <c r="F55" s="203"/>
      <c r="G55" s="203"/>
      <c r="H55" s="203"/>
      <c r="I55" s="33">
        <v>2E-3</v>
      </c>
      <c r="J55" s="34">
        <f>I55*($I$38+I45)</f>
        <v>3.8779533333333336</v>
      </c>
    </row>
    <row r="56" spans="1:10">
      <c r="A56" s="23" t="s">
        <v>66</v>
      </c>
      <c r="B56" s="203" t="s">
        <v>67</v>
      </c>
      <c r="C56" s="203"/>
      <c r="D56" s="203"/>
      <c r="E56" s="203"/>
      <c r="F56" s="203"/>
      <c r="G56" s="203"/>
      <c r="H56" s="203"/>
      <c r="I56" s="40">
        <v>0.08</v>
      </c>
      <c r="J56" s="34">
        <f>I56*($I$38+I45)</f>
        <v>155.11813333333333</v>
      </c>
    </row>
    <row r="57" spans="1:10">
      <c r="A57" s="222" t="s">
        <v>68</v>
      </c>
      <c r="B57" s="222"/>
      <c r="C57" s="222"/>
      <c r="D57" s="222"/>
      <c r="E57" s="222"/>
      <c r="F57" s="222"/>
      <c r="G57" s="222"/>
      <c r="H57" s="24"/>
      <c r="I57" s="41">
        <f>SUM(I49:I56)</f>
        <v>0.36800000000000005</v>
      </c>
      <c r="J57" s="42">
        <f>I57*($I$38+I45)</f>
        <v>713.54341333333343</v>
      </c>
    </row>
    <row r="58" spans="1:10">
      <c r="A58" s="221"/>
      <c r="B58" s="221"/>
      <c r="C58" s="221"/>
      <c r="D58" s="221"/>
      <c r="E58" s="221"/>
      <c r="F58" s="221"/>
      <c r="G58" s="221"/>
      <c r="H58" s="221"/>
      <c r="I58" s="221"/>
      <c r="J58" s="221"/>
    </row>
    <row r="59" spans="1:10">
      <c r="A59" s="222" t="s">
        <v>69</v>
      </c>
      <c r="B59" s="222"/>
      <c r="C59" s="222"/>
      <c r="D59" s="222"/>
      <c r="E59" s="222"/>
      <c r="F59" s="222"/>
      <c r="G59" s="222"/>
      <c r="H59" s="222"/>
      <c r="I59" s="222"/>
      <c r="J59" s="222"/>
    </row>
    <row r="60" spans="1:10">
      <c r="A60" s="24" t="s">
        <v>70</v>
      </c>
      <c r="B60" s="220" t="s">
        <v>71</v>
      </c>
      <c r="C60" s="220"/>
      <c r="D60" s="220"/>
      <c r="E60" s="220"/>
      <c r="F60" s="220"/>
      <c r="G60" s="220"/>
      <c r="H60" s="28"/>
      <c r="I60" s="222" t="s">
        <v>36</v>
      </c>
      <c r="J60" s="222"/>
    </row>
    <row r="61" spans="1:10" ht="17.850000000000001" customHeight="1">
      <c r="A61" s="223" t="s">
        <v>72</v>
      </c>
      <c r="B61" s="224" t="s">
        <v>73</v>
      </c>
      <c r="C61" s="224"/>
      <c r="D61" s="22" t="s">
        <v>74</v>
      </c>
      <c r="E61" s="22" t="s">
        <v>75</v>
      </c>
      <c r="F61" s="22" t="s">
        <v>76</v>
      </c>
      <c r="G61" s="21" t="s">
        <v>77</v>
      </c>
      <c r="H61" s="22" t="s">
        <v>78</v>
      </c>
      <c r="I61" s="225">
        <f>(E62*F62*G62)-H62</f>
        <v>110.20000000000002</v>
      </c>
      <c r="J61" s="225"/>
    </row>
    <row r="62" spans="1:10" ht="17.850000000000001" customHeight="1">
      <c r="A62" s="223"/>
      <c r="B62" s="224"/>
      <c r="C62" s="224"/>
      <c r="D62" s="21" t="s">
        <v>79</v>
      </c>
      <c r="E62" s="43">
        <v>4.7</v>
      </c>
      <c r="F62" s="21">
        <v>2</v>
      </c>
      <c r="G62" s="21">
        <v>22</v>
      </c>
      <c r="H62" s="43">
        <f>I31*0.06</f>
        <v>96.6</v>
      </c>
      <c r="I62" s="225"/>
      <c r="J62" s="225"/>
    </row>
    <row r="63" spans="1:10" ht="18.600000000000001" customHeight="1">
      <c r="A63" s="226" t="s">
        <v>6</v>
      </c>
      <c r="B63" s="203" t="s">
        <v>80</v>
      </c>
      <c r="C63" s="203"/>
      <c r="D63" s="203"/>
      <c r="E63" s="22" t="s">
        <v>74</v>
      </c>
      <c r="F63" s="21" t="s">
        <v>81</v>
      </c>
      <c r="G63" s="22"/>
      <c r="H63" s="22"/>
      <c r="I63" s="225">
        <f>(F64*G64)-H64</f>
        <v>465.3</v>
      </c>
      <c r="J63" s="225"/>
    </row>
    <row r="64" spans="1:10" ht="18.600000000000001" customHeight="1">
      <c r="A64" s="226"/>
      <c r="B64" s="203"/>
      <c r="C64" s="203"/>
      <c r="D64" s="203"/>
      <c r="E64" s="21" t="s">
        <v>79</v>
      </c>
      <c r="F64" s="44">
        <v>23.5</v>
      </c>
      <c r="G64" s="21">
        <v>22</v>
      </c>
      <c r="H64" s="43">
        <f>F64*G64*0.1</f>
        <v>51.7</v>
      </c>
      <c r="I64" s="225"/>
      <c r="J64" s="225"/>
    </row>
    <row r="65" spans="1:10" ht="26.85" customHeight="1">
      <c r="A65" s="23" t="s">
        <v>9</v>
      </c>
      <c r="B65" s="227" t="s">
        <v>82</v>
      </c>
      <c r="C65" s="227"/>
      <c r="D65" s="227"/>
      <c r="E65" s="227"/>
      <c r="F65" s="227"/>
      <c r="G65" s="227"/>
      <c r="H65" s="227"/>
      <c r="I65" s="212">
        <v>20.149999999999999</v>
      </c>
      <c r="J65" s="212"/>
    </row>
    <row r="66" spans="1:10">
      <c r="A66" s="23" t="s">
        <v>12</v>
      </c>
      <c r="B66" s="228"/>
      <c r="C66" s="228"/>
      <c r="D66" s="228"/>
      <c r="E66" s="228"/>
      <c r="F66" s="228"/>
      <c r="G66" s="228"/>
      <c r="H66" s="228"/>
      <c r="I66" s="212"/>
      <c r="J66" s="212"/>
    </row>
    <row r="67" spans="1:10">
      <c r="A67" s="23" t="s">
        <v>15</v>
      </c>
      <c r="B67" s="228"/>
      <c r="C67" s="228"/>
      <c r="D67" s="228"/>
      <c r="E67" s="228"/>
      <c r="F67" s="228"/>
      <c r="G67" s="228"/>
      <c r="H67" s="228"/>
      <c r="I67" s="212"/>
      <c r="J67" s="212"/>
    </row>
    <row r="68" spans="1:10">
      <c r="A68" s="218" t="s">
        <v>55</v>
      </c>
      <c r="B68" s="218"/>
      <c r="C68" s="218"/>
      <c r="D68" s="218"/>
      <c r="E68" s="218"/>
      <c r="F68" s="218"/>
      <c r="G68" s="218"/>
      <c r="H68" s="218"/>
      <c r="I68" s="219">
        <f>SUM(I61:J67)</f>
        <v>595.65</v>
      </c>
      <c r="J68" s="219"/>
    </row>
    <row r="69" spans="1:10">
      <c r="A69" s="198"/>
      <c r="B69" s="198"/>
      <c r="C69" s="198"/>
      <c r="D69" s="198"/>
      <c r="E69" s="198"/>
      <c r="F69" s="198"/>
      <c r="G69" s="198"/>
      <c r="H69" s="198"/>
      <c r="I69" s="198"/>
      <c r="J69" s="198"/>
    </row>
    <row r="70" spans="1:10">
      <c r="A70" s="229" t="s">
        <v>83</v>
      </c>
      <c r="B70" s="229"/>
      <c r="C70" s="229"/>
      <c r="D70" s="229"/>
      <c r="E70" s="229"/>
      <c r="F70" s="229"/>
      <c r="G70" s="229"/>
      <c r="H70" s="229"/>
      <c r="I70" s="229"/>
      <c r="J70" s="229"/>
    </row>
    <row r="71" spans="1:10">
      <c r="A71" s="230"/>
      <c r="B71" s="230"/>
      <c r="C71" s="230"/>
      <c r="D71" s="230"/>
      <c r="E71" s="230"/>
      <c r="F71" s="230"/>
      <c r="G71" s="230"/>
      <c r="H71" s="230"/>
      <c r="I71" s="230"/>
      <c r="J71" s="230"/>
    </row>
    <row r="72" spans="1:10">
      <c r="A72" s="45">
        <v>2</v>
      </c>
      <c r="B72" s="231" t="s">
        <v>84</v>
      </c>
      <c r="C72" s="231"/>
      <c r="D72" s="231"/>
      <c r="E72" s="231"/>
      <c r="F72" s="231"/>
      <c r="G72" s="231"/>
      <c r="H72" s="231"/>
      <c r="I72" s="232" t="s">
        <v>36</v>
      </c>
      <c r="J72" s="232"/>
    </row>
    <row r="73" spans="1:10">
      <c r="A73" s="25" t="s">
        <v>50</v>
      </c>
      <c r="B73" s="233" t="s">
        <v>85</v>
      </c>
      <c r="C73" s="233"/>
      <c r="D73" s="233"/>
      <c r="E73" s="233"/>
      <c r="F73" s="233"/>
      <c r="G73" s="233"/>
      <c r="H73" s="233"/>
      <c r="I73" s="234">
        <f>I45</f>
        <v>328.97666666666669</v>
      </c>
      <c r="J73" s="234"/>
    </row>
    <row r="74" spans="1:10">
      <c r="A74" s="25" t="s">
        <v>57</v>
      </c>
      <c r="B74" s="233" t="s">
        <v>58</v>
      </c>
      <c r="C74" s="233"/>
      <c r="D74" s="233"/>
      <c r="E74" s="233"/>
      <c r="F74" s="233"/>
      <c r="G74" s="233"/>
      <c r="H74" s="233"/>
      <c r="I74" s="234">
        <f>J57</f>
        <v>713.54341333333343</v>
      </c>
      <c r="J74" s="234"/>
    </row>
    <row r="75" spans="1:10">
      <c r="A75" s="25" t="s">
        <v>70</v>
      </c>
      <c r="B75" s="233" t="s">
        <v>71</v>
      </c>
      <c r="C75" s="233"/>
      <c r="D75" s="233"/>
      <c r="E75" s="233"/>
      <c r="F75" s="233"/>
      <c r="G75" s="233"/>
      <c r="H75" s="233"/>
      <c r="I75" s="234">
        <f>I68</f>
        <v>595.65</v>
      </c>
      <c r="J75" s="234"/>
    </row>
    <row r="76" spans="1:10">
      <c r="A76" s="218" t="s">
        <v>55</v>
      </c>
      <c r="B76" s="218"/>
      <c r="C76" s="218"/>
      <c r="D76" s="218"/>
      <c r="E76" s="218"/>
      <c r="F76" s="218"/>
      <c r="G76" s="218"/>
      <c r="H76" s="218"/>
      <c r="I76" s="219">
        <f>SUM(I73:J75)</f>
        <v>1638.1700800000003</v>
      </c>
      <c r="J76" s="219"/>
    </row>
    <row r="77" spans="1:10">
      <c r="A77" s="235"/>
      <c r="B77" s="235"/>
      <c r="C77" s="235"/>
      <c r="D77" s="235"/>
      <c r="E77" s="235"/>
      <c r="F77" s="235"/>
      <c r="G77" s="235"/>
      <c r="H77" s="235"/>
      <c r="I77" s="235"/>
      <c r="J77" s="235"/>
    </row>
    <row r="78" spans="1:10">
      <c r="A78" s="209" t="s">
        <v>86</v>
      </c>
      <c r="B78" s="209"/>
      <c r="C78" s="209"/>
      <c r="D78" s="209"/>
      <c r="E78" s="209"/>
      <c r="F78" s="209"/>
      <c r="G78" s="209"/>
      <c r="H78" s="209"/>
      <c r="I78" s="209"/>
      <c r="J78" s="209"/>
    </row>
    <row r="79" spans="1:10">
      <c r="A79" s="24">
        <v>3</v>
      </c>
      <c r="B79" s="210" t="s">
        <v>87</v>
      </c>
      <c r="C79" s="210"/>
      <c r="D79" s="210"/>
      <c r="E79" s="210"/>
      <c r="F79" s="210"/>
      <c r="G79" s="210"/>
      <c r="H79" s="210"/>
      <c r="I79" s="24" t="s">
        <v>52</v>
      </c>
      <c r="J79" s="29" t="s">
        <v>36</v>
      </c>
    </row>
    <row r="80" spans="1:10">
      <c r="A80" s="23" t="s">
        <v>4</v>
      </c>
      <c r="B80" s="203" t="s">
        <v>88</v>
      </c>
      <c r="C80" s="203"/>
      <c r="D80" s="203"/>
      <c r="E80" s="203"/>
      <c r="F80" s="203"/>
      <c r="G80" s="203"/>
      <c r="H80" s="203"/>
      <c r="I80" s="47">
        <v>4.1999999999999997E-3</v>
      </c>
      <c r="J80" s="34">
        <f t="shared" ref="J80:J85" si="0">I80*$I$38</f>
        <v>6.7619999999999996</v>
      </c>
    </row>
    <row r="81" spans="1:10">
      <c r="A81" s="23" t="s">
        <v>6</v>
      </c>
      <c r="B81" s="203" t="s">
        <v>89</v>
      </c>
      <c r="C81" s="203"/>
      <c r="D81" s="203"/>
      <c r="E81" s="203"/>
      <c r="F81" s="203"/>
      <c r="G81" s="203"/>
      <c r="H81" s="203"/>
      <c r="I81" s="47">
        <v>3.3300000000000002E-4</v>
      </c>
      <c r="J81" s="34">
        <f t="shared" si="0"/>
        <v>0.53613</v>
      </c>
    </row>
    <row r="82" spans="1:10">
      <c r="A82" s="23" t="s">
        <v>9</v>
      </c>
      <c r="B82" s="203" t="s">
        <v>90</v>
      </c>
      <c r="C82" s="203"/>
      <c r="D82" s="203"/>
      <c r="E82" s="203"/>
      <c r="F82" s="203"/>
      <c r="G82" s="203"/>
      <c r="H82" s="203"/>
      <c r="I82" s="47">
        <v>2E-3</v>
      </c>
      <c r="J82" s="34">
        <f t="shared" si="0"/>
        <v>3.22</v>
      </c>
    </row>
    <row r="83" spans="1:10">
      <c r="A83" s="23" t="s">
        <v>12</v>
      </c>
      <c r="B83" s="203" t="s">
        <v>91</v>
      </c>
      <c r="C83" s="203"/>
      <c r="D83" s="203"/>
      <c r="E83" s="203"/>
      <c r="F83" s="203"/>
      <c r="G83" s="203"/>
      <c r="H83" s="203"/>
      <c r="I83" s="47">
        <v>1.9400000000000001E-2</v>
      </c>
      <c r="J83" s="34">
        <f t="shared" si="0"/>
        <v>31.234000000000002</v>
      </c>
    </row>
    <row r="84" spans="1:10">
      <c r="A84" s="23" t="s">
        <v>15</v>
      </c>
      <c r="B84" s="203" t="s">
        <v>92</v>
      </c>
      <c r="C84" s="203"/>
      <c r="D84" s="203"/>
      <c r="E84" s="203"/>
      <c r="F84" s="203"/>
      <c r="G84" s="203"/>
      <c r="H84" s="203"/>
      <c r="I84" s="47">
        <v>7.1399999999999996E-3</v>
      </c>
      <c r="J84" s="34">
        <f t="shared" si="0"/>
        <v>11.4954</v>
      </c>
    </row>
    <row r="85" spans="1:10">
      <c r="A85" s="23" t="s">
        <v>43</v>
      </c>
      <c r="B85" s="203" t="s">
        <v>93</v>
      </c>
      <c r="C85" s="203"/>
      <c r="D85" s="203"/>
      <c r="E85" s="203"/>
      <c r="F85" s="203"/>
      <c r="G85" s="203"/>
      <c r="H85" s="203"/>
      <c r="I85" s="47">
        <v>3.7999999999999999E-2</v>
      </c>
      <c r="J85" s="34">
        <f t="shared" si="0"/>
        <v>61.18</v>
      </c>
    </row>
    <row r="86" spans="1:10">
      <c r="A86" s="218" t="s">
        <v>55</v>
      </c>
      <c r="B86" s="218"/>
      <c r="C86" s="218"/>
      <c r="D86" s="218"/>
      <c r="E86" s="218"/>
      <c r="F86" s="218"/>
      <c r="G86" s="218"/>
      <c r="H86" s="218"/>
      <c r="I86" s="219">
        <f>SUM(J80:J85)</f>
        <v>114.42752999999999</v>
      </c>
      <c r="J86" s="219"/>
    </row>
    <row r="87" spans="1:10">
      <c r="A87" s="236"/>
      <c r="B87" s="236"/>
      <c r="C87" s="236"/>
      <c r="D87" s="236"/>
      <c r="E87" s="236"/>
      <c r="F87" s="236"/>
      <c r="G87" s="236"/>
      <c r="H87" s="236"/>
      <c r="I87" s="236"/>
      <c r="J87" s="236"/>
    </row>
    <row r="88" spans="1:10">
      <c r="A88" s="209" t="s">
        <v>94</v>
      </c>
      <c r="B88" s="209"/>
      <c r="C88" s="209"/>
      <c r="D88" s="209"/>
      <c r="E88" s="209"/>
      <c r="F88" s="209"/>
      <c r="G88" s="209"/>
      <c r="H88" s="209"/>
      <c r="I88" s="209"/>
      <c r="J88" s="209"/>
    </row>
    <row r="89" spans="1:10">
      <c r="A89" s="48" t="s">
        <v>95</v>
      </c>
      <c r="B89" s="49"/>
      <c r="C89" s="49"/>
      <c r="D89" s="49"/>
      <c r="E89" s="49"/>
      <c r="F89" s="49"/>
      <c r="G89" s="49"/>
      <c r="H89" s="49"/>
      <c r="I89" s="49"/>
      <c r="J89" s="50">
        <f>I38+I76+I86-I61-I63</f>
        <v>2787.0976100000003</v>
      </c>
    </row>
    <row r="90" spans="1:10">
      <c r="A90" s="24" t="s">
        <v>96</v>
      </c>
      <c r="B90" s="210" t="s">
        <v>97</v>
      </c>
      <c r="C90" s="210"/>
      <c r="D90" s="210"/>
      <c r="E90" s="210"/>
      <c r="F90" s="210"/>
      <c r="G90" s="210"/>
      <c r="H90" s="210"/>
      <c r="I90" s="24" t="s">
        <v>52</v>
      </c>
      <c r="J90" s="24" t="s">
        <v>36</v>
      </c>
    </row>
    <row r="91" spans="1:10">
      <c r="A91" s="23" t="s">
        <v>4</v>
      </c>
      <c r="B91" s="203" t="s">
        <v>98</v>
      </c>
      <c r="C91" s="203"/>
      <c r="D91" s="203"/>
      <c r="E91" s="203"/>
      <c r="F91" s="203"/>
      <c r="G91" s="203"/>
      <c r="H91" s="203"/>
      <c r="I91" s="30">
        <v>1.6199999999999999E-2</v>
      </c>
      <c r="J91" s="51">
        <f t="shared" ref="J91:J96" si="1">I91*$J$89</f>
        <v>45.150981282000004</v>
      </c>
    </row>
    <row r="92" spans="1:10">
      <c r="A92" s="23" t="s">
        <v>6</v>
      </c>
      <c r="B92" s="203" t="s">
        <v>99</v>
      </c>
      <c r="C92" s="203"/>
      <c r="D92" s="203"/>
      <c r="E92" s="203"/>
      <c r="F92" s="203"/>
      <c r="G92" s="203"/>
      <c r="H92" s="203"/>
      <c r="I92" s="30">
        <v>2.8E-3</v>
      </c>
      <c r="J92" s="51">
        <f t="shared" si="1"/>
        <v>7.8038733080000009</v>
      </c>
    </row>
    <row r="93" spans="1:10">
      <c r="A93" s="23" t="s">
        <v>9</v>
      </c>
      <c r="B93" s="203" t="s">
        <v>100</v>
      </c>
      <c r="C93" s="203"/>
      <c r="D93" s="203"/>
      <c r="E93" s="203"/>
      <c r="F93" s="203"/>
      <c r="G93" s="203"/>
      <c r="H93" s="203"/>
      <c r="I93" s="30">
        <v>2.0000000000000001E-4</v>
      </c>
      <c r="J93" s="51">
        <f t="shared" si="1"/>
        <v>0.55741952200000011</v>
      </c>
    </row>
    <row r="94" spans="1:10">
      <c r="A94" s="23" t="s">
        <v>12</v>
      </c>
      <c r="B94" s="203" t="s">
        <v>101</v>
      </c>
      <c r="C94" s="203"/>
      <c r="D94" s="203"/>
      <c r="E94" s="203"/>
      <c r="F94" s="203"/>
      <c r="G94" s="203"/>
      <c r="H94" s="203"/>
      <c r="I94" s="30">
        <v>2.9999999999999997E-4</v>
      </c>
      <c r="J94" s="51">
        <f t="shared" si="1"/>
        <v>0.836129283</v>
      </c>
    </row>
    <row r="95" spans="1:10">
      <c r="A95" s="23" t="s">
        <v>15</v>
      </c>
      <c r="B95" s="203" t="s">
        <v>102</v>
      </c>
      <c r="C95" s="203"/>
      <c r="D95" s="203"/>
      <c r="E95" s="203"/>
      <c r="F95" s="203"/>
      <c r="G95" s="203"/>
      <c r="H95" s="203"/>
      <c r="I95" s="30">
        <v>8.0000000000000004E-4</v>
      </c>
      <c r="J95" s="51">
        <f t="shared" si="1"/>
        <v>2.2296780880000004</v>
      </c>
    </row>
    <row r="96" spans="1:10">
      <c r="A96" s="23" t="s">
        <v>43</v>
      </c>
      <c r="B96" s="203" t="s">
        <v>103</v>
      </c>
      <c r="C96" s="203"/>
      <c r="D96" s="203"/>
      <c r="E96" s="203"/>
      <c r="F96" s="203"/>
      <c r="G96" s="203"/>
      <c r="H96" s="203"/>
      <c r="I96" s="30">
        <v>0</v>
      </c>
      <c r="J96" s="51">
        <f t="shared" si="1"/>
        <v>0</v>
      </c>
    </row>
    <row r="97" spans="1:10">
      <c r="A97" s="231" t="s">
        <v>55</v>
      </c>
      <c r="B97" s="231"/>
      <c r="C97" s="231"/>
      <c r="D97" s="231"/>
      <c r="E97" s="231"/>
      <c r="F97" s="231"/>
      <c r="G97" s="231"/>
      <c r="H97" s="231"/>
      <c r="I97" s="52">
        <f>SUM(I91:I96)</f>
        <v>2.0299999999999999E-2</v>
      </c>
      <c r="J97" s="53">
        <f>SUM(J91:J96)</f>
        <v>56.578081483000005</v>
      </c>
    </row>
    <row r="98" spans="1:10">
      <c r="A98" s="235"/>
      <c r="B98" s="235"/>
      <c r="C98" s="235"/>
      <c r="D98" s="235"/>
      <c r="E98" s="235"/>
      <c r="F98" s="235"/>
      <c r="G98" s="235"/>
      <c r="H98" s="235"/>
      <c r="I98" s="235"/>
      <c r="J98" s="235"/>
    </row>
    <row r="99" spans="1:10">
      <c r="A99" s="222" t="s">
        <v>104</v>
      </c>
      <c r="B99" s="222"/>
      <c r="C99" s="222"/>
      <c r="D99" s="222"/>
      <c r="E99" s="222"/>
      <c r="F99" s="222"/>
      <c r="G99" s="222"/>
      <c r="H99" s="222"/>
      <c r="I99" s="222"/>
      <c r="J99" s="222"/>
    </row>
    <row r="100" spans="1:10">
      <c r="A100" s="24" t="s">
        <v>105</v>
      </c>
      <c r="B100" s="210" t="s">
        <v>106</v>
      </c>
      <c r="C100" s="210"/>
      <c r="D100" s="210"/>
      <c r="E100" s="210"/>
      <c r="F100" s="210"/>
      <c r="G100" s="210"/>
      <c r="H100" s="210"/>
      <c r="I100" s="24" t="s">
        <v>52</v>
      </c>
      <c r="J100" s="24" t="s">
        <v>36</v>
      </c>
    </row>
    <row r="101" spans="1:10">
      <c r="A101" s="23" t="s">
        <v>4</v>
      </c>
      <c r="B101" s="203" t="s">
        <v>107</v>
      </c>
      <c r="C101" s="203"/>
      <c r="D101" s="203"/>
      <c r="E101" s="203"/>
      <c r="F101" s="203"/>
      <c r="G101" s="203"/>
      <c r="H101" s="203"/>
      <c r="I101" s="30"/>
      <c r="J101" s="54">
        <f>(I31+I32+I33)*I101</f>
        <v>0</v>
      </c>
    </row>
    <row r="102" spans="1:10">
      <c r="A102" s="218" t="s">
        <v>55</v>
      </c>
      <c r="B102" s="218"/>
      <c r="C102" s="218"/>
      <c r="D102" s="218"/>
      <c r="E102" s="218"/>
      <c r="F102" s="218"/>
      <c r="G102" s="218"/>
      <c r="H102" s="218"/>
      <c r="I102" s="237">
        <f>SUM(J98:J101)</f>
        <v>0</v>
      </c>
      <c r="J102" s="237"/>
    </row>
    <row r="103" spans="1:10" ht="12.75" customHeight="1">
      <c r="A103" s="198"/>
      <c r="B103" s="198"/>
      <c r="C103" s="198"/>
      <c r="D103" s="198"/>
      <c r="E103" s="198"/>
      <c r="F103" s="198"/>
      <c r="G103" s="198"/>
      <c r="H103" s="198"/>
      <c r="I103" s="198"/>
      <c r="J103" s="198"/>
    </row>
    <row r="104" spans="1:10">
      <c r="A104" s="229" t="s">
        <v>108</v>
      </c>
      <c r="B104" s="229"/>
      <c r="C104" s="229"/>
      <c r="D104" s="229"/>
      <c r="E104" s="229"/>
      <c r="F104" s="229"/>
      <c r="G104" s="229"/>
      <c r="H104" s="229"/>
      <c r="I104" s="229"/>
      <c r="J104" s="229"/>
    </row>
    <row r="105" spans="1:10">
      <c r="A105" s="230"/>
      <c r="B105" s="230"/>
      <c r="C105" s="230"/>
      <c r="D105" s="230"/>
      <c r="E105" s="230"/>
      <c r="F105" s="230"/>
      <c r="G105" s="230"/>
      <c r="H105" s="230"/>
      <c r="I105" s="230"/>
      <c r="J105" s="230"/>
    </row>
    <row r="106" spans="1:10">
      <c r="A106" s="45">
        <v>4</v>
      </c>
      <c r="B106" s="238" t="s">
        <v>84</v>
      </c>
      <c r="C106" s="238"/>
      <c r="D106" s="238"/>
      <c r="E106" s="238"/>
      <c r="F106" s="238"/>
      <c r="G106" s="238"/>
      <c r="H106" s="238"/>
      <c r="I106" s="232" t="s">
        <v>36</v>
      </c>
      <c r="J106" s="232"/>
    </row>
    <row r="107" spans="1:10">
      <c r="A107" s="25" t="s">
        <v>96</v>
      </c>
      <c r="B107" s="233" t="s">
        <v>109</v>
      </c>
      <c r="C107" s="233"/>
      <c r="D107" s="233"/>
      <c r="E107" s="233"/>
      <c r="F107" s="233"/>
      <c r="G107" s="233"/>
      <c r="H107" s="233"/>
      <c r="I107" s="234">
        <f>J97</f>
        <v>56.578081483000005</v>
      </c>
      <c r="J107" s="234"/>
    </row>
    <row r="108" spans="1:10">
      <c r="A108" s="25" t="s">
        <v>105</v>
      </c>
      <c r="B108" s="233" t="s">
        <v>106</v>
      </c>
      <c r="C108" s="233"/>
      <c r="D108" s="233"/>
      <c r="E108" s="233"/>
      <c r="F108" s="233"/>
      <c r="G108" s="233"/>
      <c r="H108" s="233"/>
      <c r="I108" s="234">
        <f>I102</f>
        <v>0</v>
      </c>
      <c r="J108" s="234"/>
    </row>
    <row r="109" spans="1:10">
      <c r="A109" s="218" t="s">
        <v>55</v>
      </c>
      <c r="B109" s="218"/>
      <c r="C109" s="218"/>
      <c r="D109" s="218"/>
      <c r="E109" s="218"/>
      <c r="F109" s="218"/>
      <c r="G109" s="218"/>
      <c r="H109" s="218"/>
      <c r="I109" s="239">
        <f>SUM(I107:J108)</f>
        <v>56.578081483000005</v>
      </c>
      <c r="J109" s="239"/>
    </row>
    <row r="110" spans="1:10">
      <c r="A110" s="235"/>
      <c r="B110" s="235"/>
      <c r="C110" s="235"/>
      <c r="D110" s="235"/>
      <c r="E110" s="235"/>
      <c r="F110" s="235"/>
      <c r="G110" s="235"/>
      <c r="H110" s="235"/>
      <c r="I110" s="235"/>
      <c r="J110" s="235"/>
    </row>
    <row r="111" spans="1:10">
      <c r="A111" s="209" t="s">
        <v>110</v>
      </c>
      <c r="B111" s="209"/>
      <c r="C111" s="209"/>
      <c r="D111" s="209"/>
      <c r="E111" s="209"/>
      <c r="F111" s="209"/>
      <c r="G111" s="209"/>
      <c r="H111" s="209"/>
      <c r="I111" s="209"/>
      <c r="J111" s="209"/>
    </row>
    <row r="112" spans="1:10">
      <c r="A112" s="24">
        <v>5</v>
      </c>
      <c r="B112" s="210" t="s">
        <v>111</v>
      </c>
      <c r="C112" s="210"/>
      <c r="D112" s="210"/>
      <c r="E112" s="210"/>
      <c r="F112" s="210"/>
      <c r="G112" s="210"/>
      <c r="H112" s="210"/>
      <c r="I112" s="222" t="s">
        <v>36</v>
      </c>
      <c r="J112" s="222"/>
    </row>
    <row r="113" spans="1:10">
      <c r="A113" s="25" t="s">
        <v>4</v>
      </c>
      <c r="B113" s="233" t="s">
        <v>112</v>
      </c>
      <c r="C113" s="233"/>
      <c r="D113" s="233"/>
      <c r="E113" s="233"/>
      <c r="F113" s="233"/>
      <c r="G113" s="233"/>
      <c r="H113" s="233"/>
      <c r="I113" s="240">
        <f>uniforme!F11</f>
        <v>91.030833333333334</v>
      </c>
      <c r="J113" s="240"/>
    </row>
    <row r="114" spans="1:10">
      <c r="A114" s="25" t="s">
        <v>6</v>
      </c>
      <c r="B114" s="233" t="s">
        <v>113</v>
      </c>
      <c r="C114" s="233"/>
      <c r="D114" s="233"/>
      <c r="E114" s="233"/>
      <c r="F114" s="233"/>
      <c r="G114" s="233"/>
      <c r="H114" s="233"/>
      <c r="I114" s="234">
        <f>Equipamentos!E29</f>
        <v>252.96995098039218</v>
      </c>
      <c r="J114" s="234"/>
    </row>
    <row r="115" spans="1:10">
      <c r="A115" s="25" t="s">
        <v>9</v>
      </c>
      <c r="B115" s="233" t="s">
        <v>114</v>
      </c>
      <c r="C115" s="233"/>
      <c r="D115" s="233"/>
      <c r="E115" s="233"/>
      <c r="F115" s="233"/>
      <c r="G115" s="233"/>
      <c r="H115" s="233"/>
      <c r="I115" s="234">
        <f>material2!F59</f>
        <v>658.36857843137227</v>
      </c>
      <c r="J115" s="234"/>
    </row>
    <row r="116" spans="1:10">
      <c r="A116" s="25" t="s">
        <v>12</v>
      </c>
      <c r="B116" s="241" t="s">
        <v>115</v>
      </c>
      <c r="C116" s="241"/>
      <c r="D116" s="241"/>
      <c r="E116" s="241"/>
      <c r="F116" s="241"/>
      <c r="G116" s="241"/>
      <c r="H116" s="55"/>
      <c r="I116" s="240">
        <f>'KIT PRIMEIROS SOCORROS'!G2</f>
        <v>0.48338383838383836</v>
      </c>
      <c r="J116" s="240"/>
    </row>
    <row r="117" spans="1:10">
      <c r="A117" s="25" t="s">
        <v>15</v>
      </c>
      <c r="B117" s="241"/>
      <c r="C117" s="241"/>
      <c r="D117" s="241"/>
      <c r="E117" s="241"/>
      <c r="F117" s="241"/>
      <c r="G117" s="241"/>
      <c r="H117" s="55"/>
      <c r="I117" s="240"/>
      <c r="J117" s="240"/>
    </row>
    <row r="118" spans="1:10">
      <c r="A118" s="231" t="s">
        <v>68</v>
      </c>
      <c r="B118" s="231"/>
      <c r="C118" s="231"/>
      <c r="D118" s="231"/>
      <c r="E118" s="231"/>
      <c r="F118" s="231"/>
      <c r="G118" s="231"/>
      <c r="H118" s="231"/>
      <c r="I118" s="242">
        <f>SUM(I113:J117)</f>
        <v>1002.8527465834816</v>
      </c>
      <c r="J118" s="242"/>
    </row>
    <row r="119" spans="1:10">
      <c r="A119" s="243"/>
      <c r="B119" s="243"/>
      <c r="C119" s="243"/>
      <c r="D119" s="243"/>
      <c r="E119" s="243"/>
      <c r="F119" s="243"/>
      <c r="G119" s="243"/>
      <c r="H119" s="243"/>
      <c r="I119" s="243"/>
      <c r="J119" s="243"/>
    </row>
    <row r="120" spans="1:10">
      <c r="A120" s="209" t="s">
        <v>116</v>
      </c>
      <c r="B120" s="209"/>
      <c r="C120" s="209"/>
      <c r="D120" s="209"/>
      <c r="E120" s="209"/>
      <c r="F120" s="209"/>
      <c r="G120" s="209"/>
      <c r="H120" s="209"/>
      <c r="I120" s="209"/>
      <c r="J120" s="209"/>
    </row>
    <row r="121" spans="1:10">
      <c r="A121" s="45">
        <v>6</v>
      </c>
      <c r="B121" s="238" t="s">
        <v>117</v>
      </c>
      <c r="C121" s="238"/>
      <c r="D121" s="238"/>
      <c r="E121" s="238"/>
      <c r="F121" s="238"/>
      <c r="G121" s="238"/>
      <c r="H121" s="238"/>
      <c r="I121" s="45" t="s">
        <v>52</v>
      </c>
      <c r="J121" s="45" t="s">
        <v>36</v>
      </c>
    </row>
    <row r="122" spans="1:10">
      <c r="A122" s="25" t="s">
        <v>4</v>
      </c>
      <c r="B122" s="233" t="s">
        <v>118</v>
      </c>
      <c r="C122" s="233"/>
      <c r="D122" s="233"/>
      <c r="E122" s="233"/>
      <c r="F122" s="233"/>
      <c r="G122" s="233"/>
      <c r="H122" s="233"/>
      <c r="I122" s="57">
        <v>0.05</v>
      </c>
      <c r="J122" s="46">
        <f>I138*I122</f>
        <v>221.10142190332408</v>
      </c>
    </row>
    <row r="123" spans="1:10">
      <c r="A123" s="25" t="s">
        <v>6</v>
      </c>
      <c r="B123" s="233" t="s">
        <v>119</v>
      </c>
      <c r="C123" s="233"/>
      <c r="D123" s="233"/>
      <c r="E123" s="233"/>
      <c r="F123" s="233"/>
      <c r="G123" s="233"/>
      <c r="H123" s="233"/>
      <c r="I123" s="57">
        <v>0.1</v>
      </c>
      <c r="J123" s="46">
        <f>(J122+I138)*I123</f>
        <v>464.31298599698061</v>
      </c>
    </row>
    <row r="124" spans="1:10">
      <c r="A124" s="25" t="s">
        <v>9</v>
      </c>
      <c r="B124" s="233" t="s">
        <v>120</v>
      </c>
      <c r="C124" s="233"/>
      <c r="D124" s="233"/>
      <c r="E124" s="233"/>
      <c r="F124" s="233"/>
      <c r="G124" s="233"/>
      <c r="H124" s="233"/>
      <c r="I124" s="57">
        <f>I125+I126+I127</f>
        <v>8.6499999999999994E-2</v>
      </c>
      <c r="J124" s="46"/>
    </row>
    <row r="125" spans="1:10">
      <c r="A125" s="244" t="s">
        <v>121</v>
      </c>
      <c r="B125" s="244"/>
      <c r="C125" s="216" t="s">
        <v>122</v>
      </c>
      <c r="D125" s="26" t="s">
        <v>123</v>
      </c>
      <c r="E125" s="245" t="s">
        <v>341</v>
      </c>
      <c r="F125" s="245"/>
      <c r="G125" s="245"/>
      <c r="H125" s="245"/>
      <c r="I125" s="57">
        <v>6.4999999999999997E-3</v>
      </c>
      <c r="J125" s="46">
        <f>I125*$I$140</f>
        <v>36.341957853075108</v>
      </c>
    </row>
    <row r="126" spans="1:10">
      <c r="A126" s="244" t="s">
        <v>124</v>
      </c>
      <c r="B126" s="244"/>
      <c r="C126" s="216"/>
      <c r="D126" s="26" t="s">
        <v>125</v>
      </c>
      <c r="E126" s="245"/>
      <c r="F126" s="245"/>
      <c r="G126" s="245"/>
      <c r="H126" s="245"/>
      <c r="I126" s="58">
        <v>0.03</v>
      </c>
      <c r="J126" s="46">
        <f>I126*$I$140</f>
        <v>167.73211316803895</v>
      </c>
    </row>
    <row r="127" spans="1:10">
      <c r="A127" s="244" t="s">
        <v>126</v>
      </c>
      <c r="B127" s="244"/>
      <c r="C127" s="59" t="s">
        <v>127</v>
      </c>
      <c r="D127" s="26" t="s">
        <v>128</v>
      </c>
      <c r="E127" s="27"/>
      <c r="F127" s="27"/>
      <c r="G127" s="60"/>
      <c r="H127" s="60"/>
      <c r="I127" s="57">
        <v>0.05</v>
      </c>
      <c r="J127" s="46">
        <f>I127*$I$140</f>
        <v>279.55352194673162</v>
      </c>
    </row>
    <row r="128" spans="1:10">
      <c r="A128" s="232" t="s">
        <v>68</v>
      </c>
      <c r="B128" s="232"/>
      <c r="C128" s="232"/>
      <c r="D128" s="232"/>
      <c r="E128" s="232"/>
      <c r="F128" s="232"/>
      <c r="G128" s="232"/>
      <c r="H128" s="45"/>
      <c r="I128" s="61"/>
      <c r="J128" s="56">
        <f>SUM(J122:J127)</f>
        <v>1169.0420008681504</v>
      </c>
    </row>
    <row r="129" spans="1:10" ht="28.35" customHeight="1">
      <c r="A129" s="246" t="s">
        <v>129</v>
      </c>
      <c r="B129" s="246"/>
      <c r="C129" s="246"/>
      <c r="D129" s="246"/>
      <c r="E129" s="246"/>
      <c r="F129" s="246"/>
      <c r="G129" s="246"/>
      <c r="H129" s="246"/>
      <c r="I129" s="246"/>
      <c r="J129" s="246"/>
    </row>
    <row r="130" spans="1:10">
      <c r="A130" s="247" t="s">
        <v>130</v>
      </c>
      <c r="B130" s="247"/>
      <c r="C130" s="247"/>
      <c r="D130" s="247"/>
      <c r="E130" s="247"/>
      <c r="F130" s="247"/>
      <c r="G130" s="247"/>
      <c r="H130" s="247"/>
      <c r="I130" s="247"/>
      <c r="J130" s="247"/>
    </row>
    <row r="131" spans="1:10">
      <c r="A131" s="248"/>
      <c r="B131" s="248"/>
      <c r="C131" s="248"/>
      <c r="D131" s="248"/>
      <c r="E131" s="248"/>
      <c r="F131" s="248"/>
      <c r="G131" s="248"/>
      <c r="H131" s="248"/>
      <c r="I131" s="248"/>
      <c r="J131" s="248"/>
    </row>
    <row r="132" spans="1:10">
      <c r="A132" s="231" t="s">
        <v>131</v>
      </c>
      <c r="B132" s="231"/>
      <c r="C132" s="231"/>
      <c r="D132" s="231"/>
      <c r="E132" s="231"/>
      <c r="F132" s="231"/>
      <c r="G132" s="231"/>
      <c r="H132" s="231"/>
      <c r="I132" s="249" t="s">
        <v>36</v>
      </c>
      <c r="J132" s="249"/>
    </row>
    <row r="133" spans="1:10">
      <c r="A133" s="25" t="s">
        <v>4</v>
      </c>
      <c r="B133" s="233" t="s">
        <v>132</v>
      </c>
      <c r="C133" s="233"/>
      <c r="D133" s="233"/>
      <c r="E133" s="233"/>
      <c r="F133" s="233"/>
      <c r="G133" s="233"/>
      <c r="H133" s="233"/>
      <c r="I133" s="234">
        <f>I38</f>
        <v>1610</v>
      </c>
      <c r="J133" s="234"/>
    </row>
    <row r="134" spans="1:10">
      <c r="A134" s="25" t="s">
        <v>6</v>
      </c>
      <c r="B134" s="233" t="s">
        <v>133</v>
      </c>
      <c r="C134" s="233"/>
      <c r="D134" s="233"/>
      <c r="E134" s="233"/>
      <c r="F134" s="233"/>
      <c r="G134" s="233"/>
      <c r="H134" s="233"/>
      <c r="I134" s="234">
        <f>I76</f>
        <v>1638.1700800000003</v>
      </c>
      <c r="J134" s="234"/>
    </row>
    <row r="135" spans="1:10">
      <c r="A135" s="25" t="s">
        <v>9</v>
      </c>
      <c r="B135" s="233" t="s">
        <v>134</v>
      </c>
      <c r="C135" s="233"/>
      <c r="D135" s="233"/>
      <c r="E135" s="233"/>
      <c r="F135" s="233"/>
      <c r="G135" s="233"/>
      <c r="H135" s="233"/>
      <c r="I135" s="234">
        <f>I86</f>
        <v>114.42752999999999</v>
      </c>
      <c r="J135" s="234"/>
    </row>
    <row r="136" spans="1:10">
      <c r="A136" s="25" t="s">
        <v>12</v>
      </c>
      <c r="B136" s="233" t="s">
        <v>135</v>
      </c>
      <c r="C136" s="233"/>
      <c r="D136" s="233"/>
      <c r="E136" s="233"/>
      <c r="F136" s="233"/>
      <c r="G136" s="233"/>
      <c r="H136" s="233"/>
      <c r="I136" s="234">
        <f>I109</f>
        <v>56.578081483000005</v>
      </c>
      <c r="J136" s="234"/>
    </row>
    <row r="137" spans="1:10">
      <c r="A137" s="25" t="s">
        <v>15</v>
      </c>
      <c r="B137" s="233" t="s">
        <v>136</v>
      </c>
      <c r="C137" s="233"/>
      <c r="D137" s="233"/>
      <c r="E137" s="233"/>
      <c r="F137" s="233"/>
      <c r="G137" s="233"/>
      <c r="H137" s="233"/>
      <c r="I137" s="234">
        <f>I118</f>
        <v>1002.8527465834816</v>
      </c>
      <c r="J137" s="234"/>
    </row>
    <row r="138" spans="1:10">
      <c r="A138" s="231" t="s">
        <v>137</v>
      </c>
      <c r="B138" s="231"/>
      <c r="C138" s="231"/>
      <c r="D138" s="231"/>
      <c r="E138" s="231"/>
      <c r="F138" s="231"/>
      <c r="G138" s="231"/>
      <c r="H138" s="231"/>
      <c r="I138" s="242">
        <f>SUM(I133:J137)</f>
        <v>4422.0284380664816</v>
      </c>
      <c r="J138" s="242"/>
    </row>
    <row r="139" spans="1:10">
      <c r="A139" s="25" t="s">
        <v>43</v>
      </c>
      <c r="B139" s="233" t="s">
        <v>138</v>
      </c>
      <c r="C139" s="233"/>
      <c r="D139" s="233"/>
      <c r="E139" s="233"/>
      <c r="F139" s="233"/>
      <c r="G139" s="233"/>
      <c r="H139" s="233"/>
      <c r="I139" s="234">
        <f>J128</f>
        <v>1169.0420008681504</v>
      </c>
      <c r="J139" s="234"/>
    </row>
    <row r="140" spans="1:10">
      <c r="A140" s="231" t="s">
        <v>139</v>
      </c>
      <c r="B140" s="231"/>
      <c r="C140" s="231"/>
      <c r="D140" s="231"/>
      <c r="E140" s="231"/>
      <c r="F140" s="231"/>
      <c r="G140" s="231"/>
      <c r="H140" s="231"/>
      <c r="I140" s="242">
        <f>(I138+J122+J123)/(1-I124)</f>
        <v>5591.070438934632</v>
      </c>
      <c r="J140" s="242"/>
    </row>
    <row r="141" spans="1:10">
      <c r="A141" s="250"/>
      <c r="B141" s="250"/>
      <c r="C141" s="250"/>
      <c r="D141" s="250"/>
      <c r="E141" s="250"/>
      <c r="F141" s="250"/>
      <c r="G141" s="250"/>
      <c r="H141" s="250"/>
      <c r="I141" s="250"/>
      <c r="J141" s="250"/>
    </row>
  </sheetData>
  <mergeCells count="195">
    <mergeCell ref="B139:H139"/>
    <mergeCell ref="I139:J139"/>
    <mergeCell ref="A140:H140"/>
    <mergeCell ref="I140:J140"/>
    <mergeCell ref="A141:J141"/>
    <mergeCell ref="B134:H134"/>
    <mergeCell ref="I134:J134"/>
    <mergeCell ref="B135:H135"/>
    <mergeCell ref="I135:J135"/>
    <mergeCell ref="B136:H136"/>
    <mergeCell ref="I136:J136"/>
    <mergeCell ref="B137:H137"/>
    <mergeCell ref="I137:J137"/>
    <mergeCell ref="A138:H138"/>
    <mergeCell ref="I138:J138"/>
    <mergeCell ref="A127:B127"/>
    <mergeCell ref="A128:G128"/>
    <mergeCell ref="A129:J129"/>
    <mergeCell ref="A130:J130"/>
    <mergeCell ref="A131:J131"/>
    <mergeCell ref="A132:H132"/>
    <mergeCell ref="I132:J132"/>
    <mergeCell ref="B133:H133"/>
    <mergeCell ref="I133:J133"/>
    <mergeCell ref="A119:J119"/>
    <mergeCell ref="A120:J120"/>
    <mergeCell ref="B121:H121"/>
    <mergeCell ref="B122:H122"/>
    <mergeCell ref="B123:H123"/>
    <mergeCell ref="B124:H124"/>
    <mergeCell ref="A125:B125"/>
    <mergeCell ref="C125:C126"/>
    <mergeCell ref="E125:H126"/>
    <mergeCell ref="A126:B126"/>
    <mergeCell ref="B114:H114"/>
    <mergeCell ref="I114:J114"/>
    <mergeCell ref="B115:H115"/>
    <mergeCell ref="I115:J115"/>
    <mergeCell ref="B116:G116"/>
    <mergeCell ref="I116:J116"/>
    <mergeCell ref="B117:G117"/>
    <mergeCell ref="I117:J117"/>
    <mergeCell ref="A118:H118"/>
    <mergeCell ref="I118:J118"/>
    <mergeCell ref="B108:H108"/>
    <mergeCell ref="I108:J108"/>
    <mergeCell ref="A109:H109"/>
    <mergeCell ref="I109:J109"/>
    <mergeCell ref="A110:J110"/>
    <mergeCell ref="A111:J111"/>
    <mergeCell ref="B112:H112"/>
    <mergeCell ref="I112:J112"/>
    <mergeCell ref="B113:H113"/>
    <mergeCell ref="I113:J113"/>
    <mergeCell ref="A102:H102"/>
    <mergeCell ref="I102:J102"/>
    <mergeCell ref="A103:J103"/>
    <mergeCell ref="A104:J104"/>
    <mergeCell ref="A105:J105"/>
    <mergeCell ref="B106:H106"/>
    <mergeCell ref="I106:J106"/>
    <mergeCell ref="B107:H107"/>
    <mergeCell ref="I107:J107"/>
    <mergeCell ref="B93:H93"/>
    <mergeCell ref="B94:H94"/>
    <mergeCell ref="B95:H95"/>
    <mergeCell ref="B96:H96"/>
    <mergeCell ref="A97:H97"/>
    <mergeCell ref="A98:J98"/>
    <mergeCell ref="A99:J99"/>
    <mergeCell ref="B100:H100"/>
    <mergeCell ref="B101:H101"/>
    <mergeCell ref="B84:H84"/>
    <mergeCell ref="B85:H85"/>
    <mergeCell ref="A86:H86"/>
    <mergeCell ref="I86:J86"/>
    <mergeCell ref="A87:J87"/>
    <mergeCell ref="A88:J88"/>
    <mergeCell ref="B90:H90"/>
    <mergeCell ref="B91:H91"/>
    <mergeCell ref="B92:H92"/>
    <mergeCell ref="A76:H76"/>
    <mergeCell ref="I76:J76"/>
    <mergeCell ref="A77:J77"/>
    <mergeCell ref="A78:J78"/>
    <mergeCell ref="B79:H79"/>
    <mergeCell ref="B80:H80"/>
    <mergeCell ref="B81:H81"/>
    <mergeCell ref="B82:H82"/>
    <mergeCell ref="B83:H83"/>
    <mergeCell ref="A70:J70"/>
    <mergeCell ref="A71:J71"/>
    <mergeCell ref="B72:H72"/>
    <mergeCell ref="I72:J72"/>
    <mergeCell ref="B73:H73"/>
    <mergeCell ref="I73:J73"/>
    <mergeCell ref="B74:H74"/>
    <mergeCell ref="I74:J74"/>
    <mergeCell ref="B75:H75"/>
    <mergeCell ref="I75:J75"/>
    <mergeCell ref="B65:H65"/>
    <mergeCell ref="I65:J65"/>
    <mergeCell ref="B66:H66"/>
    <mergeCell ref="I66:J66"/>
    <mergeCell ref="B67:H67"/>
    <mergeCell ref="I67:J67"/>
    <mergeCell ref="A68:H68"/>
    <mergeCell ref="I68:J68"/>
    <mergeCell ref="A69:J69"/>
    <mergeCell ref="A57:G57"/>
    <mergeCell ref="A58:J58"/>
    <mergeCell ref="A59:J59"/>
    <mergeCell ref="B60:G60"/>
    <mergeCell ref="I60:J60"/>
    <mergeCell ref="A61:A62"/>
    <mergeCell ref="B61:C62"/>
    <mergeCell ref="I61:J62"/>
    <mergeCell ref="A63:A64"/>
    <mergeCell ref="B63:D64"/>
    <mergeCell ref="I63:J64"/>
    <mergeCell ref="A47:J47"/>
    <mergeCell ref="B48:H48"/>
    <mergeCell ref="B49:H49"/>
    <mergeCell ref="B50:H50"/>
    <mergeCell ref="B52:H52"/>
    <mergeCell ref="B53:H53"/>
    <mergeCell ref="B54:H54"/>
    <mergeCell ref="B55:H55"/>
    <mergeCell ref="B56:H56"/>
    <mergeCell ref="A39:J39"/>
    <mergeCell ref="A40:J40"/>
    <mergeCell ref="A41:J41"/>
    <mergeCell ref="B42:H42"/>
    <mergeCell ref="B43:H43"/>
    <mergeCell ref="B44:H44"/>
    <mergeCell ref="A45:H45"/>
    <mergeCell ref="I45:J45"/>
    <mergeCell ref="A46:J46"/>
    <mergeCell ref="B34:H34"/>
    <mergeCell ref="I34:J34"/>
    <mergeCell ref="B35:H35"/>
    <mergeCell ref="I35:J35"/>
    <mergeCell ref="B36:H36"/>
    <mergeCell ref="I36:J36"/>
    <mergeCell ref="B37:H37"/>
    <mergeCell ref="I37:J37"/>
    <mergeCell ref="A38:H38"/>
    <mergeCell ref="I38:J38"/>
    <mergeCell ref="A28:J28"/>
    <mergeCell ref="A29:J29"/>
    <mergeCell ref="B30:H30"/>
    <mergeCell ref="I30:J30"/>
    <mergeCell ref="B31:H31"/>
    <mergeCell ref="I31:J31"/>
    <mergeCell ref="G32:H32"/>
    <mergeCell ref="I32:J32"/>
    <mergeCell ref="G33:H33"/>
    <mergeCell ref="I33:J33"/>
    <mergeCell ref="B23:H23"/>
    <mergeCell ref="I23:J23"/>
    <mergeCell ref="B24:H24"/>
    <mergeCell ref="I24:J24"/>
    <mergeCell ref="B25:H25"/>
    <mergeCell ref="I25:J25"/>
    <mergeCell ref="B26:H26"/>
    <mergeCell ref="I26:J26"/>
    <mergeCell ref="B27:H27"/>
    <mergeCell ref="I27:J27"/>
    <mergeCell ref="B16:H16"/>
    <mergeCell ref="I16:J16"/>
    <mergeCell ref="B17:H17"/>
    <mergeCell ref="I17:J17"/>
    <mergeCell ref="A18:J18"/>
    <mergeCell ref="A19:J19"/>
    <mergeCell ref="A20:J20"/>
    <mergeCell ref="A21:J21"/>
    <mergeCell ref="A22:J22"/>
    <mergeCell ref="B10:F10"/>
    <mergeCell ref="G10:J10"/>
    <mergeCell ref="B11:F11"/>
    <mergeCell ref="G11:J11"/>
    <mergeCell ref="G12:J12"/>
    <mergeCell ref="A13:J13"/>
    <mergeCell ref="A14:J14"/>
    <mergeCell ref="B15:H15"/>
    <mergeCell ref="I15:J15"/>
    <mergeCell ref="A1:J1"/>
    <mergeCell ref="E2:I2"/>
    <mergeCell ref="A5:J5"/>
    <mergeCell ref="A6:J6"/>
    <mergeCell ref="A7:J7"/>
    <mergeCell ref="B8:F8"/>
    <mergeCell ref="G8:J8"/>
    <mergeCell ref="B9:F9"/>
    <mergeCell ref="G9:J9"/>
  </mergeCells>
  <pageMargins left="0.51180555555555596" right="0.51180555555555596" top="0.78749999999999998" bottom="0.78749999999999998" header="0.511811023622047" footer="0.511811023622047"/>
  <pageSetup paperSize="9" scale="64" orientation="portrait" horizontalDpi="300" verticalDpi="300"/>
  <rowBreaks count="1" manualBreakCount="1">
    <brk id="7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zoomScaleNormal="100" workbookViewId="0">
      <selection activeCell="D5" sqref="D5"/>
    </sheetView>
  </sheetViews>
  <sheetFormatPr defaultColWidth="11.5703125" defaultRowHeight="15"/>
  <cols>
    <col min="1" max="1" width="46.5703125" customWidth="1"/>
    <col min="2" max="2" width="19.5703125" customWidth="1"/>
    <col min="4" max="4" width="15.85546875" customWidth="1"/>
    <col min="5" max="5" width="15" customWidth="1"/>
    <col min="6" max="6" width="16" customWidth="1"/>
  </cols>
  <sheetData>
    <row r="1" spans="1:6" ht="18.75">
      <c r="A1" s="254"/>
      <c r="B1" s="254"/>
      <c r="C1" s="254"/>
      <c r="D1" s="254"/>
      <c r="E1" s="254"/>
    </row>
    <row r="3" spans="1:6">
      <c r="A3" s="255" t="s">
        <v>143</v>
      </c>
      <c r="B3" s="255"/>
      <c r="C3" s="255"/>
      <c r="D3" s="255"/>
      <c r="E3" s="255"/>
      <c r="F3" s="255"/>
    </row>
    <row r="4" spans="1:6" ht="30">
      <c r="A4" s="62" t="s">
        <v>144</v>
      </c>
      <c r="B4" s="63" t="s">
        <v>145</v>
      </c>
      <c r="C4" s="64" t="s">
        <v>146</v>
      </c>
      <c r="D4" s="65" t="s">
        <v>147</v>
      </c>
      <c r="E4" s="65" t="s">
        <v>148</v>
      </c>
      <c r="F4" s="66" t="s">
        <v>149</v>
      </c>
    </row>
    <row r="5" spans="1:6">
      <c r="A5" s="67" t="s">
        <v>150</v>
      </c>
      <c r="B5" s="68">
        <v>6</v>
      </c>
      <c r="C5" s="69" t="s">
        <v>151</v>
      </c>
      <c r="D5" s="70">
        <v>65</v>
      </c>
      <c r="E5" s="71">
        <f t="shared" ref="E5:E10" si="0">D5*B5</f>
        <v>390</v>
      </c>
      <c r="F5" s="72">
        <f t="shared" ref="F5:F10" si="1">E5/12</f>
        <v>32.5</v>
      </c>
    </row>
    <row r="6" spans="1:6" ht="29.1" customHeight="1">
      <c r="A6" s="73" t="s">
        <v>152</v>
      </c>
      <c r="B6" s="68">
        <v>6</v>
      </c>
      <c r="C6" s="74" t="s">
        <v>151</v>
      </c>
      <c r="D6" s="70">
        <v>70</v>
      </c>
      <c r="E6" s="71">
        <f t="shared" si="0"/>
        <v>420</v>
      </c>
      <c r="F6" s="72">
        <f t="shared" si="1"/>
        <v>35</v>
      </c>
    </row>
    <row r="7" spans="1:6">
      <c r="A7" s="73" t="s">
        <v>153</v>
      </c>
      <c r="B7" s="68">
        <v>10</v>
      </c>
      <c r="C7" s="75" t="s">
        <v>154</v>
      </c>
      <c r="D7" s="70">
        <v>9.3699999999999992</v>
      </c>
      <c r="E7" s="71">
        <f t="shared" si="0"/>
        <v>93.699999999999989</v>
      </c>
      <c r="F7" s="72">
        <f t="shared" si="1"/>
        <v>7.8083333333333327</v>
      </c>
    </row>
    <row r="8" spans="1:6">
      <c r="A8" s="73" t="s">
        <v>155</v>
      </c>
      <c r="B8" s="68">
        <v>2</v>
      </c>
      <c r="C8" s="76" t="s">
        <v>154</v>
      </c>
      <c r="D8" s="77">
        <v>77.83</v>
      </c>
      <c r="E8" s="71">
        <f t="shared" si="0"/>
        <v>155.66</v>
      </c>
      <c r="F8" s="72">
        <f t="shared" si="1"/>
        <v>12.971666666666666</v>
      </c>
    </row>
    <row r="9" spans="1:6">
      <c r="A9" s="73" t="s">
        <v>156</v>
      </c>
      <c r="B9" s="68">
        <v>1</v>
      </c>
      <c r="C9" s="76" t="s">
        <v>157</v>
      </c>
      <c r="D9" s="77">
        <v>15</v>
      </c>
      <c r="E9" s="71">
        <f t="shared" si="0"/>
        <v>15</v>
      </c>
      <c r="F9" s="72">
        <f t="shared" si="1"/>
        <v>1.25</v>
      </c>
    </row>
    <row r="10" spans="1:6">
      <c r="A10" s="73" t="s">
        <v>158</v>
      </c>
      <c r="B10" s="78">
        <v>1</v>
      </c>
      <c r="C10" s="79" t="s">
        <v>157</v>
      </c>
      <c r="D10" s="80">
        <v>18.010000000000002</v>
      </c>
      <c r="E10" s="71">
        <f t="shared" si="0"/>
        <v>18.010000000000002</v>
      </c>
      <c r="F10" s="72">
        <f t="shared" si="1"/>
        <v>1.5008333333333335</v>
      </c>
    </row>
    <row r="11" spans="1:6">
      <c r="A11" s="81" t="s">
        <v>68</v>
      </c>
      <c r="B11" s="82">
        <f>SUM(B5:B10)</f>
        <v>26</v>
      </c>
      <c r="C11" s="83"/>
      <c r="D11" s="84">
        <f>SUM(D5:D10)</f>
        <v>255.20999999999998</v>
      </c>
      <c r="E11" s="84">
        <f>SUM(E5:E10)</f>
        <v>1092.3700000000001</v>
      </c>
      <c r="F11" s="84">
        <f>SUM(F5:F10)</f>
        <v>91.030833333333334</v>
      </c>
    </row>
    <row r="12" spans="1:6">
      <c r="A12" s="85"/>
      <c r="B12" s="86"/>
      <c r="C12" s="86"/>
      <c r="D12" s="86"/>
      <c r="E12" s="86"/>
      <c r="F12" s="87"/>
    </row>
    <row r="13" spans="1:6">
      <c r="A13" s="256" t="s">
        <v>159</v>
      </c>
      <c r="B13" s="256"/>
      <c r="C13" s="256"/>
      <c r="D13" s="256"/>
      <c r="E13" s="256"/>
      <c r="F13" s="256"/>
    </row>
    <row r="14" spans="1:6" ht="30">
      <c r="A14" s="62" t="s">
        <v>144</v>
      </c>
      <c r="B14" s="63" t="s">
        <v>145</v>
      </c>
      <c r="C14" s="64" t="s">
        <v>146</v>
      </c>
      <c r="D14" s="65" t="s">
        <v>147</v>
      </c>
      <c r="E14" s="65" t="s">
        <v>148</v>
      </c>
      <c r="F14" s="66" t="s">
        <v>149</v>
      </c>
    </row>
    <row r="15" spans="1:6">
      <c r="A15" s="73" t="s">
        <v>160</v>
      </c>
      <c r="B15" s="68">
        <v>6</v>
      </c>
      <c r="C15" s="88" t="s">
        <v>151</v>
      </c>
      <c r="D15" s="89">
        <v>78.3</v>
      </c>
      <c r="E15" s="90">
        <f t="shared" ref="E15:E20" si="2">D15*B15</f>
        <v>469.79999999999995</v>
      </c>
      <c r="F15" s="72">
        <f t="shared" ref="F15:F21" si="3">E15/12</f>
        <v>39.15</v>
      </c>
    </row>
    <row r="16" spans="1:6" ht="29.25">
      <c r="A16" s="73" t="s">
        <v>161</v>
      </c>
      <c r="B16" s="68">
        <v>6</v>
      </c>
      <c r="C16" s="88" t="s">
        <v>151</v>
      </c>
      <c r="D16" s="89">
        <v>79.23</v>
      </c>
      <c r="E16" s="90">
        <f t="shared" si="2"/>
        <v>475.38</v>
      </c>
      <c r="F16" s="72">
        <f t="shared" si="3"/>
        <v>39.615000000000002</v>
      </c>
    </row>
    <row r="17" spans="1:6" ht="29.25">
      <c r="A17" s="73" t="s">
        <v>162</v>
      </c>
      <c r="B17" s="68">
        <v>10</v>
      </c>
      <c r="C17" s="91" t="s">
        <v>154</v>
      </c>
      <c r="D17" s="89">
        <v>9.3699999999999992</v>
      </c>
      <c r="E17" s="90">
        <f t="shared" si="2"/>
        <v>93.699999999999989</v>
      </c>
      <c r="F17" s="72">
        <f t="shared" si="3"/>
        <v>7.8083333333333327</v>
      </c>
    </row>
    <row r="18" spans="1:6" ht="29.25">
      <c r="A18" s="92" t="s">
        <v>163</v>
      </c>
      <c r="B18" s="68">
        <v>2</v>
      </c>
      <c r="C18" s="93" t="s">
        <v>154</v>
      </c>
      <c r="D18" s="94">
        <v>93.27</v>
      </c>
      <c r="E18" s="90">
        <f t="shared" si="2"/>
        <v>186.54</v>
      </c>
      <c r="F18" s="72">
        <f t="shared" si="3"/>
        <v>15.545</v>
      </c>
    </row>
    <row r="19" spans="1:6">
      <c r="A19" s="92" t="s">
        <v>156</v>
      </c>
      <c r="B19" s="68">
        <v>1</v>
      </c>
      <c r="C19" s="93" t="s">
        <v>157</v>
      </c>
      <c r="D19" s="94">
        <v>15</v>
      </c>
      <c r="E19" s="90">
        <f t="shared" si="2"/>
        <v>15</v>
      </c>
      <c r="F19" s="72">
        <f t="shared" si="3"/>
        <v>1.25</v>
      </c>
    </row>
    <row r="20" spans="1:6">
      <c r="A20" s="73" t="s">
        <v>158</v>
      </c>
      <c r="B20" s="78">
        <v>1</v>
      </c>
      <c r="C20" s="95" t="s">
        <v>157</v>
      </c>
      <c r="D20" s="96">
        <v>18.010000000000002</v>
      </c>
      <c r="E20" s="90">
        <f t="shared" si="2"/>
        <v>18.010000000000002</v>
      </c>
      <c r="F20" s="72">
        <f t="shared" si="3"/>
        <v>1.5008333333333335</v>
      </c>
    </row>
    <row r="21" spans="1:6">
      <c r="A21" s="62" t="s">
        <v>68</v>
      </c>
      <c r="B21" s="82">
        <f>SUM(B15:B20)</f>
        <v>26</v>
      </c>
      <c r="C21" s="83"/>
      <c r="D21" s="84">
        <f>SUM(D15:D20)</f>
        <v>293.18</v>
      </c>
      <c r="E21" s="84">
        <f>SUM(E15:E20)</f>
        <v>1258.4299999999998</v>
      </c>
      <c r="F21" s="97">
        <f t="shared" si="3"/>
        <v>104.86916666666666</v>
      </c>
    </row>
    <row r="24" spans="1:6">
      <c r="E24">
        <f>E21*33</f>
        <v>41528.189999999995</v>
      </c>
      <c r="F24">
        <f>E11+E24</f>
        <v>42620.56</v>
      </c>
    </row>
  </sheetData>
  <mergeCells count="3">
    <mergeCell ref="A1:E1"/>
    <mergeCell ref="A3:F3"/>
    <mergeCell ref="A13:F13"/>
  </mergeCells>
  <pageMargins left="0.78749999999999998" right="0.78749999999999998" top="1.05277777777778" bottom="1.05277777777778" header="0.78749999999999998" footer="0.78749999999999998"/>
  <pageSetup paperSize="9" scale="69" orientation="portrait" horizontalDpi="300" verticalDpi="300"/>
  <headerFooter>
    <oddHeader>&amp;C&amp;"Times New Roman,Normal"&amp;12&amp;Kffffff&amp;A</oddHeader>
    <oddFooter>&amp;C&amp;"Times New Roman,Normal"&amp;12&amp;KffffffPágina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"/>
  <sheetViews>
    <sheetView zoomScaleNormal="100" workbookViewId="0">
      <selection activeCell="G2" sqref="G2"/>
    </sheetView>
  </sheetViews>
  <sheetFormatPr defaultColWidth="11.5703125" defaultRowHeight="15"/>
  <cols>
    <col min="1" max="1" width="30" customWidth="1"/>
    <col min="4" max="4" width="13.28515625" customWidth="1"/>
    <col min="5" max="5" width="16.28515625" customWidth="1"/>
    <col min="6" max="6" width="11.85546875" customWidth="1"/>
    <col min="7" max="7" width="33.85546875" customWidth="1"/>
  </cols>
  <sheetData>
    <row r="1" spans="1:7" ht="24.6" customHeight="1">
      <c r="A1" s="135" t="s">
        <v>220</v>
      </c>
      <c r="B1" s="135" t="s">
        <v>221</v>
      </c>
      <c r="C1" s="135" t="s">
        <v>157</v>
      </c>
      <c r="D1" s="135" t="s">
        <v>145</v>
      </c>
      <c r="E1" s="135" t="s">
        <v>147</v>
      </c>
      <c r="F1" s="135" t="s">
        <v>149</v>
      </c>
      <c r="G1" s="136" t="s">
        <v>222</v>
      </c>
    </row>
    <row r="2" spans="1:7" ht="26.1" customHeight="1">
      <c r="A2" s="137" t="s">
        <v>223</v>
      </c>
      <c r="B2" s="138">
        <v>2</v>
      </c>
      <c r="C2" s="138" t="s">
        <v>224</v>
      </c>
      <c r="D2" s="138">
        <v>1</v>
      </c>
      <c r="E2" s="139">
        <v>191.42</v>
      </c>
      <c r="F2" s="139">
        <f>E2/12</f>
        <v>15.951666666666666</v>
      </c>
      <c r="G2" s="140">
        <f>F2/33</f>
        <v>0.48338383838383836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Roman,Normal"&amp;12&amp;Kffffff&amp;A</oddHeader>
    <oddFooter>&amp;C&amp;"Times New Roman,Normal"&amp;12&amp;KffffffPágina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9"/>
  <sheetViews>
    <sheetView topLeftCell="A19" zoomScaleNormal="100" workbookViewId="0">
      <selection activeCell="D25" sqref="D25"/>
    </sheetView>
  </sheetViews>
  <sheetFormatPr defaultColWidth="11.5703125" defaultRowHeight="15"/>
  <cols>
    <col min="1" max="1" width="28.42578125" customWidth="1"/>
    <col min="2" max="2" width="7.7109375" customWidth="1"/>
    <col min="3" max="3" width="7.42578125" customWidth="1"/>
    <col min="4" max="4" width="7.7109375" customWidth="1"/>
    <col min="5" max="5" width="14.42578125" customWidth="1"/>
  </cols>
  <sheetData>
    <row r="1" spans="1:5">
      <c r="A1" s="257" t="s">
        <v>225</v>
      </c>
      <c r="B1" s="257"/>
      <c r="C1" s="257"/>
      <c r="D1" s="257"/>
      <c r="E1" s="257"/>
    </row>
    <row r="2" spans="1:5">
      <c r="A2" s="258" t="s">
        <v>226</v>
      </c>
      <c r="B2" s="258"/>
      <c r="C2" s="141"/>
      <c r="D2" s="141"/>
      <c r="E2" s="141"/>
    </row>
    <row r="3" spans="1:5">
      <c r="A3" s="141" t="s">
        <v>227</v>
      </c>
      <c r="B3" s="141" t="s">
        <v>228</v>
      </c>
      <c r="C3" s="141" t="s">
        <v>229</v>
      </c>
      <c r="D3" s="142" t="s">
        <v>230</v>
      </c>
      <c r="E3" s="142" t="s">
        <v>231</v>
      </c>
    </row>
    <row r="4" spans="1:5" ht="183.6" customHeight="1">
      <c r="A4" s="143" t="s">
        <v>232</v>
      </c>
      <c r="B4" s="144" t="s">
        <v>233</v>
      </c>
      <c r="C4" s="144">
        <v>4</v>
      </c>
      <c r="D4" s="145">
        <v>2526.5500000000002</v>
      </c>
      <c r="E4" s="145">
        <f t="shared" ref="E4:E26" si="0">C4*D4</f>
        <v>10106.200000000001</v>
      </c>
    </row>
    <row r="5" spans="1:5" ht="87.4" customHeight="1">
      <c r="A5" s="143" t="s">
        <v>234</v>
      </c>
      <c r="B5" s="144" t="s">
        <v>233</v>
      </c>
      <c r="C5" s="144">
        <v>4</v>
      </c>
      <c r="D5" s="145">
        <v>420.73</v>
      </c>
      <c r="E5" s="145">
        <f t="shared" si="0"/>
        <v>1682.92</v>
      </c>
    </row>
    <row r="6" spans="1:5" ht="200.65" customHeight="1">
      <c r="A6" s="143" t="s">
        <v>235</v>
      </c>
      <c r="B6" s="144" t="s">
        <v>233</v>
      </c>
      <c r="C6" s="144">
        <v>1</v>
      </c>
      <c r="D6" s="145">
        <v>464.44</v>
      </c>
      <c r="E6" s="145">
        <f t="shared" si="0"/>
        <v>464.44</v>
      </c>
    </row>
    <row r="7" spans="1:5" ht="90.2" customHeight="1">
      <c r="A7" s="143" t="s">
        <v>236</v>
      </c>
      <c r="B7" s="144" t="s">
        <v>233</v>
      </c>
      <c r="C7" s="144">
        <v>2</v>
      </c>
      <c r="D7" s="145">
        <v>1480</v>
      </c>
      <c r="E7" s="145">
        <f t="shared" si="0"/>
        <v>2960</v>
      </c>
    </row>
    <row r="8" spans="1:5" ht="129.19999999999999" customHeight="1">
      <c r="A8" s="143" t="s">
        <v>237</v>
      </c>
      <c r="B8" s="144" t="s">
        <v>233</v>
      </c>
      <c r="C8" s="144">
        <v>1</v>
      </c>
      <c r="D8" s="145">
        <v>600</v>
      </c>
      <c r="E8" s="145">
        <f t="shared" si="0"/>
        <v>600</v>
      </c>
    </row>
    <row r="9" spans="1:5" ht="92.45" customHeight="1">
      <c r="A9" s="146" t="s">
        <v>238</v>
      </c>
      <c r="B9" s="147" t="s">
        <v>233</v>
      </c>
      <c r="C9" s="147">
        <v>70</v>
      </c>
      <c r="D9" s="148">
        <v>151.09</v>
      </c>
      <c r="E9" s="148">
        <f t="shared" si="0"/>
        <v>10576.300000000001</v>
      </c>
    </row>
    <row r="10" spans="1:5" ht="97.7" customHeight="1">
      <c r="A10" s="146" t="s">
        <v>239</v>
      </c>
      <c r="B10" s="147" t="s">
        <v>233</v>
      </c>
      <c r="C10" s="147">
        <v>10</v>
      </c>
      <c r="D10" s="148">
        <v>226.48</v>
      </c>
      <c r="E10" s="148">
        <f t="shared" si="0"/>
        <v>2264.7999999999997</v>
      </c>
    </row>
    <row r="11" spans="1:5" ht="132.75" customHeight="1">
      <c r="A11" s="146" t="s">
        <v>240</v>
      </c>
      <c r="B11" s="147" t="s">
        <v>233</v>
      </c>
      <c r="C11" s="147">
        <v>10</v>
      </c>
      <c r="D11" s="148">
        <v>192.74</v>
      </c>
      <c r="E11" s="148">
        <f t="shared" si="0"/>
        <v>1927.4</v>
      </c>
    </row>
    <row r="12" spans="1:5" ht="146.25" customHeight="1">
      <c r="A12" s="146" t="s">
        <v>241</v>
      </c>
      <c r="B12" s="147" t="s">
        <v>233</v>
      </c>
      <c r="C12" s="147">
        <v>10</v>
      </c>
      <c r="D12" s="148">
        <v>159.41999999999999</v>
      </c>
      <c r="E12" s="148">
        <f t="shared" si="0"/>
        <v>1594.1999999999998</v>
      </c>
    </row>
    <row r="13" spans="1:5" ht="160.35" customHeight="1">
      <c r="A13" s="146" t="s">
        <v>242</v>
      </c>
      <c r="B13" s="147" t="s">
        <v>233</v>
      </c>
      <c r="C13" s="147">
        <v>6</v>
      </c>
      <c r="D13" s="148">
        <v>2766.78</v>
      </c>
      <c r="E13" s="148">
        <f t="shared" si="0"/>
        <v>16600.68</v>
      </c>
    </row>
    <row r="14" spans="1:5" ht="59.65" customHeight="1">
      <c r="A14" s="146" t="s">
        <v>243</v>
      </c>
      <c r="B14" s="147" t="s">
        <v>233</v>
      </c>
      <c r="C14" s="147">
        <v>8</v>
      </c>
      <c r="D14" s="148">
        <v>672.71</v>
      </c>
      <c r="E14" s="148">
        <f t="shared" si="0"/>
        <v>5381.68</v>
      </c>
    </row>
    <row r="15" spans="1:5" ht="48.6" customHeight="1">
      <c r="A15" s="146" t="s">
        <v>244</v>
      </c>
      <c r="B15" s="147" t="s">
        <v>233</v>
      </c>
      <c r="C15" s="147">
        <v>8</v>
      </c>
      <c r="D15" s="148">
        <v>825.2</v>
      </c>
      <c r="E15" s="148">
        <f t="shared" si="0"/>
        <v>6601.6</v>
      </c>
    </row>
    <row r="16" spans="1:5" ht="101.45" customHeight="1">
      <c r="A16" s="146" t="s">
        <v>245</v>
      </c>
      <c r="B16" s="147" t="s">
        <v>233</v>
      </c>
      <c r="C16" s="147">
        <v>4</v>
      </c>
      <c r="D16" s="148">
        <v>458.8</v>
      </c>
      <c r="E16" s="148">
        <f t="shared" si="0"/>
        <v>1835.2</v>
      </c>
    </row>
    <row r="17" spans="1:5" ht="108.95" customHeight="1">
      <c r="A17" s="146" t="s">
        <v>246</v>
      </c>
      <c r="B17" s="147" t="s">
        <v>233</v>
      </c>
      <c r="C17" s="147">
        <v>3</v>
      </c>
      <c r="D17" s="148">
        <v>634.15</v>
      </c>
      <c r="E17" s="148">
        <f t="shared" si="0"/>
        <v>1902.4499999999998</v>
      </c>
    </row>
    <row r="18" spans="1:5" ht="58.9" customHeight="1">
      <c r="A18" s="146" t="s">
        <v>247</v>
      </c>
      <c r="B18" s="147" t="s">
        <v>233</v>
      </c>
      <c r="C18" s="147">
        <v>2</v>
      </c>
      <c r="D18" s="148">
        <v>2490</v>
      </c>
      <c r="E18" s="148">
        <f t="shared" si="0"/>
        <v>4980</v>
      </c>
    </row>
    <row r="19" spans="1:5" ht="153.75" customHeight="1">
      <c r="A19" s="146" t="s">
        <v>248</v>
      </c>
      <c r="B19" s="147" t="s">
        <v>233</v>
      </c>
      <c r="C19" s="147">
        <v>1</v>
      </c>
      <c r="D19" s="148">
        <v>1604.65</v>
      </c>
      <c r="E19" s="148">
        <f t="shared" si="0"/>
        <v>1604.65</v>
      </c>
    </row>
    <row r="20" spans="1:5" ht="87.4" customHeight="1">
      <c r="A20" s="146" t="s">
        <v>249</v>
      </c>
      <c r="B20" s="147" t="s">
        <v>233</v>
      </c>
      <c r="C20" s="147">
        <v>70</v>
      </c>
      <c r="D20" s="148">
        <v>219.23</v>
      </c>
      <c r="E20" s="148">
        <f t="shared" si="0"/>
        <v>15346.099999999999</v>
      </c>
    </row>
    <row r="21" spans="1:5" ht="61.15" customHeight="1">
      <c r="A21" s="146" t="s">
        <v>250</v>
      </c>
      <c r="B21" s="147" t="s">
        <v>233</v>
      </c>
      <c r="C21" s="147">
        <v>1</v>
      </c>
      <c r="D21" s="148">
        <v>947.72</v>
      </c>
      <c r="E21" s="148">
        <f t="shared" si="0"/>
        <v>947.72</v>
      </c>
    </row>
    <row r="22" spans="1:5" ht="84.4" customHeight="1">
      <c r="A22" s="146" t="s">
        <v>251</v>
      </c>
      <c r="B22" s="147" t="s">
        <v>233</v>
      </c>
      <c r="C22" s="147">
        <v>20</v>
      </c>
      <c r="D22" s="148">
        <v>144</v>
      </c>
      <c r="E22" s="148">
        <f t="shared" si="0"/>
        <v>2880</v>
      </c>
    </row>
    <row r="23" spans="1:5" ht="90.2" customHeight="1">
      <c r="A23" s="149" t="s">
        <v>252</v>
      </c>
      <c r="B23" s="147" t="s">
        <v>233</v>
      </c>
      <c r="C23" s="147">
        <v>150</v>
      </c>
      <c r="D23" s="148">
        <v>32</v>
      </c>
      <c r="E23" s="148">
        <f t="shared" si="0"/>
        <v>4800</v>
      </c>
    </row>
    <row r="24" spans="1:5" ht="90.95" customHeight="1">
      <c r="A24" s="146" t="s">
        <v>253</v>
      </c>
      <c r="B24" s="147" t="s">
        <v>233</v>
      </c>
      <c r="C24" s="147">
        <v>1</v>
      </c>
      <c r="D24" s="148">
        <v>1400</v>
      </c>
      <c r="E24" s="148">
        <f t="shared" si="0"/>
        <v>1400</v>
      </c>
    </row>
    <row r="25" spans="1:5" ht="158.25" customHeight="1">
      <c r="A25" s="146" t="s">
        <v>254</v>
      </c>
      <c r="B25" s="147" t="s">
        <v>233</v>
      </c>
      <c r="C25" s="147">
        <v>2</v>
      </c>
      <c r="D25" s="148">
        <v>1738.33</v>
      </c>
      <c r="E25" s="148">
        <f t="shared" si="0"/>
        <v>3476.66</v>
      </c>
    </row>
    <row r="26" spans="1:5" ht="87.4" customHeight="1">
      <c r="A26" s="146" t="s">
        <v>255</v>
      </c>
      <c r="B26" s="147" t="s">
        <v>233</v>
      </c>
      <c r="C26" s="147">
        <v>2</v>
      </c>
      <c r="D26" s="148">
        <v>1639.37</v>
      </c>
      <c r="E26" s="148">
        <f t="shared" si="0"/>
        <v>3278.74</v>
      </c>
    </row>
    <row r="27" spans="1:5" ht="13.9" customHeight="1">
      <c r="A27" s="259" t="s">
        <v>256</v>
      </c>
      <c r="B27" s="259"/>
      <c r="C27" s="259"/>
      <c r="D27" s="259"/>
      <c r="E27" s="150">
        <f>SUM(E4:E26)</f>
        <v>103211.74</v>
      </c>
    </row>
    <row r="28" spans="1:5" ht="13.9" customHeight="1">
      <c r="A28" s="259" t="s">
        <v>257</v>
      </c>
      <c r="B28" s="259"/>
      <c r="C28" s="259"/>
      <c r="D28" s="259"/>
      <c r="E28" s="150">
        <f>E27/12</f>
        <v>8600.9783333333344</v>
      </c>
    </row>
    <row r="29" spans="1:5" ht="13.9" customHeight="1">
      <c r="A29" s="259" t="s">
        <v>258</v>
      </c>
      <c r="B29" s="259"/>
      <c r="C29" s="259"/>
      <c r="D29" s="259"/>
      <c r="E29" s="150">
        <f>E28/34</f>
        <v>252.96995098039218</v>
      </c>
    </row>
  </sheetData>
  <mergeCells count="5">
    <mergeCell ref="A1:E1"/>
    <mergeCell ref="A2:B2"/>
    <mergeCell ref="A27:D27"/>
    <mergeCell ref="A28:D28"/>
    <mergeCell ref="A29:D2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Roman,Normal"&amp;12&amp;Kffffff&amp;A</oddHeader>
    <oddFooter>&amp;C&amp;"Times New Roman,Normal"&amp;12&amp;KffffffPágina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9"/>
  <sheetViews>
    <sheetView topLeftCell="A46" zoomScaleNormal="100" workbookViewId="0">
      <selection activeCell="D67" sqref="D67"/>
    </sheetView>
  </sheetViews>
  <sheetFormatPr defaultColWidth="11.5703125" defaultRowHeight="15"/>
  <cols>
    <col min="1" max="1" width="34.5703125" customWidth="1"/>
    <col min="2" max="2" width="12.42578125" customWidth="1"/>
    <col min="3" max="3" width="17.5703125" customWidth="1"/>
    <col min="4" max="4" width="15.5703125" customWidth="1"/>
    <col min="5" max="5" width="14.7109375" customWidth="1"/>
    <col min="6" max="6" width="23.42578125" customWidth="1"/>
  </cols>
  <sheetData>
    <row r="1" spans="1:9" ht="12.75" customHeight="1">
      <c r="A1" s="260" t="s">
        <v>259</v>
      </c>
      <c r="B1" s="260"/>
      <c r="C1" s="260"/>
      <c r="D1" s="260"/>
      <c r="E1" s="260"/>
      <c r="F1" s="260"/>
    </row>
    <row r="2" spans="1:9" ht="12.75" customHeight="1">
      <c r="A2" s="260" t="s">
        <v>260</v>
      </c>
      <c r="B2" s="260"/>
      <c r="C2" s="260"/>
      <c r="D2" s="260"/>
      <c r="E2" s="260"/>
      <c r="F2" s="260"/>
    </row>
    <row r="3" spans="1:9" ht="22.5">
      <c r="A3" s="151" t="s">
        <v>261</v>
      </c>
      <c r="B3" s="151" t="s">
        <v>262</v>
      </c>
      <c r="C3" s="151" t="s">
        <v>263</v>
      </c>
      <c r="D3" s="151" t="s">
        <v>264</v>
      </c>
      <c r="E3" s="151" t="s">
        <v>265</v>
      </c>
      <c r="F3" s="152" t="s">
        <v>256</v>
      </c>
    </row>
    <row r="4" spans="1:9">
      <c r="A4" s="153" t="s">
        <v>266</v>
      </c>
      <c r="B4" s="154">
        <v>429961</v>
      </c>
      <c r="C4" s="153" t="s">
        <v>267</v>
      </c>
      <c r="D4" s="155">
        <v>7</v>
      </c>
      <c r="E4" s="153">
        <v>360</v>
      </c>
      <c r="F4" s="156">
        <f t="shared" ref="F4:F35" si="0">D4*E4</f>
        <v>2520</v>
      </c>
      <c r="G4" s="157"/>
    </row>
    <row r="5" spans="1:9">
      <c r="A5" s="153" t="s">
        <v>268</v>
      </c>
      <c r="B5" s="158">
        <v>326030</v>
      </c>
      <c r="C5" s="153" t="s">
        <v>269</v>
      </c>
      <c r="D5" s="155">
        <v>3.29</v>
      </c>
      <c r="E5" s="153">
        <v>600</v>
      </c>
      <c r="F5" s="156">
        <f t="shared" si="0"/>
        <v>1974</v>
      </c>
      <c r="G5" s="157"/>
    </row>
    <row r="6" spans="1:9">
      <c r="A6" s="159" t="s">
        <v>270</v>
      </c>
      <c r="B6" s="160">
        <v>295598</v>
      </c>
      <c r="C6" s="159" t="s">
        <v>271</v>
      </c>
      <c r="D6" s="161">
        <v>27.47</v>
      </c>
      <c r="E6" s="159">
        <v>120</v>
      </c>
      <c r="F6" s="162">
        <f t="shared" si="0"/>
        <v>3296.3999999999996</v>
      </c>
      <c r="G6" s="157"/>
    </row>
    <row r="7" spans="1:9">
      <c r="A7" s="159" t="s">
        <v>272</v>
      </c>
      <c r="B7" s="163">
        <v>273231</v>
      </c>
      <c r="C7" s="164" t="s">
        <v>273</v>
      </c>
      <c r="D7" s="161">
        <v>14.69</v>
      </c>
      <c r="E7" s="164">
        <v>600</v>
      </c>
      <c r="F7" s="162">
        <f t="shared" si="0"/>
        <v>8814</v>
      </c>
    </row>
    <row r="8" spans="1:9">
      <c r="A8" s="164" t="s">
        <v>274</v>
      </c>
      <c r="B8" s="165">
        <v>351157</v>
      </c>
      <c r="C8" s="164" t="s">
        <v>275</v>
      </c>
      <c r="D8" s="161">
        <v>157.30000000000001</v>
      </c>
      <c r="E8" s="163">
        <v>192</v>
      </c>
      <c r="F8" s="162">
        <f t="shared" si="0"/>
        <v>30201.600000000002</v>
      </c>
      <c r="G8" s="157"/>
    </row>
    <row r="9" spans="1:9">
      <c r="A9" s="159" t="s">
        <v>276</v>
      </c>
      <c r="B9" s="163">
        <v>437157</v>
      </c>
      <c r="C9" s="164" t="s">
        <v>275</v>
      </c>
      <c r="D9" s="161">
        <v>45.71</v>
      </c>
      <c r="E9" s="163">
        <v>240</v>
      </c>
      <c r="F9" s="162">
        <f t="shared" si="0"/>
        <v>10970.4</v>
      </c>
      <c r="G9" s="157"/>
    </row>
    <row r="10" spans="1:9">
      <c r="A10" s="159" t="s">
        <v>277</v>
      </c>
      <c r="B10" s="158">
        <v>420084</v>
      </c>
      <c r="C10" s="164" t="s">
        <v>275</v>
      </c>
      <c r="D10" s="161">
        <v>47.21</v>
      </c>
      <c r="E10" s="163">
        <v>96</v>
      </c>
      <c r="F10" s="162">
        <f t="shared" si="0"/>
        <v>4532.16</v>
      </c>
      <c r="G10" s="157"/>
    </row>
    <row r="11" spans="1:9">
      <c r="A11" s="159" t="s">
        <v>278</v>
      </c>
      <c r="B11" s="163">
        <v>331905</v>
      </c>
      <c r="C11" s="163" t="s">
        <v>279</v>
      </c>
      <c r="D11" s="161">
        <v>15.47</v>
      </c>
      <c r="E11" s="163">
        <v>600</v>
      </c>
      <c r="F11" s="162">
        <f t="shared" si="0"/>
        <v>9282</v>
      </c>
      <c r="G11" s="157"/>
    </row>
    <row r="12" spans="1:9">
      <c r="A12" s="159" t="s">
        <v>280</v>
      </c>
      <c r="B12" s="163">
        <v>484680</v>
      </c>
      <c r="C12" s="163" t="s">
        <v>269</v>
      </c>
      <c r="D12" s="161">
        <v>3.83</v>
      </c>
      <c r="E12" s="163">
        <v>840</v>
      </c>
      <c r="F12" s="162">
        <f t="shared" si="0"/>
        <v>3217.2000000000003</v>
      </c>
      <c r="G12" s="157"/>
    </row>
    <row r="13" spans="1:9">
      <c r="A13" s="159" t="s">
        <v>281</v>
      </c>
      <c r="B13" s="163">
        <v>449798</v>
      </c>
      <c r="C13" s="163" t="s">
        <v>275</v>
      </c>
      <c r="D13" s="161">
        <v>24.12</v>
      </c>
      <c r="E13" s="163">
        <v>120</v>
      </c>
      <c r="F13" s="162">
        <f t="shared" si="0"/>
        <v>2894.4</v>
      </c>
      <c r="G13" s="157"/>
    </row>
    <row r="14" spans="1:9" ht="22.5">
      <c r="A14" s="159" t="s">
        <v>282</v>
      </c>
      <c r="B14" s="163">
        <v>614590</v>
      </c>
      <c r="C14" s="163" t="s">
        <v>269</v>
      </c>
      <c r="D14" s="161">
        <v>28.41</v>
      </c>
      <c r="E14" s="163">
        <v>15</v>
      </c>
      <c r="F14" s="162">
        <f t="shared" si="0"/>
        <v>426.15</v>
      </c>
      <c r="G14" s="157"/>
    </row>
    <row r="15" spans="1:9" ht="22.5">
      <c r="A15" s="159" t="s">
        <v>283</v>
      </c>
      <c r="B15" s="163">
        <v>614590</v>
      </c>
      <c r="C15" s="163" t="s">
        <v>269</v>
      </c>
      <c r="D15" s="161">
        <v>28.41</v>
      </c>
      <c r="E15" s="163">
        <v>15</v>
      </c>
      <c r="F15" s="162">
        <f t="shared" si="0"/>
        <v>426.15</v>
      </c>
      <c r="G15" s="157"/>
    </row>
    <row r="16" spans="1:9" ht="22.5">
      <c r="A16" s="159" t="s">
        <v>284</v>
      </c>
      <c r="B16" s="163">
        <v>614590</v>
      </c>
      <c r="C16" s="163" t="s">
        <v>269</v>
      </c>
      <c r="D16" s="161">
        <v>28.41</v>
      </c>
      <c r="E16" s="163">
        <v>15</v>
      </c>
      <c r="F16" s="162">
        <f t="shared" si="0"/>
        <v>426.15</v>
      </c>
      <c r="G16" s="157"/>
      <c r="I16" s="2"/>
    </row>
    <row r="17" spans="1:9" ht="25.35" customHeight="1">
      <c r="A17" s="159" t="s">
        <v>285</v>
      </c>
      <c r="B17" s="163">
        <v>614590</v>
      </c>
      <c r="C17" s="163" t="s">
        <v>269</v>
      </c>
      <c r="D17" s="161">
        <v>28.41</v>
      </c>
      <c r="E17" s="163">
        <v>15</v>
      </c>
      <c r="F17" s="162">
        <f t="shared" si="0"/>
        <v>426.15</v>
      </c>
      <c r="G17" s="157"/>
      <c r="I17" s="166"/>
    </row>
    <row r="18" spans="1:9" ht="21.6" customHeight="1">
      <c r="A18" s="159" t="s">
        <v>286</v>
      </c>
      <c r="B18" s="158">
        <v>484679</v>
      </c>
      <c r="C18" s="163" t="s">
        <v>279</v>
      </c>
      <c r="D18" s="161">
        <v>20.61</v>
      </c>
      <c r="E18" s="163">
        <v>60</v>
      </c>
      <c r="F18" s="162">
        <f t="shared" si="0"/>
        <v>1236.5999999999999</v>
      </c>
      <c r="I18" s="166"/>
    </row>
    <row r="19" spans="1:9">
      <c r="A19" s="159" t="s">
        <v>287</v>
      </c>
      <c r="B19" s="158">
        <v>467158</v>
      </c>
      <c r="C19" s="163" t="s">
        <v>275</v>
      </c>
      <c r="D19" s="161">
        <v>50.68</v>
      </c>
      <c r="E19" s="163">
        <v>10</v>
      </c>
      <c r="F19" s="162">
        <f t="shared" si="0"/>
        <v>506.8</v>
      </c>
      <c r="G19" s="157"/>
      <c r="H19" s="167"/>
    </row>
    <row r="20" spans="1:9">
      <c r="A20" s="159" t="s">
        <v>288</v>
      </c>
      <c r="B20" s="158">
        <v>472871</v>
      </c>
      <c r="C20" s="163" t="s">
        <v>289</v>
      </c>
      <c r="D20" s="161">
        <v>16.5</v>
      </c>
      <c r="E20" s="163">
        <v>720</v>
      </c>
      <c r="F20" s="162">
        <f t="shared" si="0"/>
        <v>11880</v>
      </c>
      <c r="G20" s="157"/>
    </row>
    <row r="21" spans="1:9">
      <c r="A21" s="159" t="s">
        <v>290</v>
      </c>
      <c r="B21" s="158">
        <v>307513</v>
      </c>
      <c r="C21" s="163" t="s">
        <v>291</v>
      </c>
      <c r="D21" s="161">
        <v>19.78</v>
      </c>
      <c r="E21" s="163">
        <v>720</v>
      </c>
      <c r="F21" s="162">
        <f t="shared" si="0"/>
        <v>14241.6</v>
      </c>
    </row>
    <row r="22" spans="1:9">
      <c r="A22" s="159" t="s">
        <v>292</v>
      </c>
      <c r="B22" s="163">
        <v>481028</v>
      </c>
      <c r="C22" s="163" t="s">
        <v>269</v>
      </c>
      <c r="D22" s="161">
        <v>4.9400000000000004</v>
      </c>
      <c r="E22" s="163">
        <v>840</v>
      </c>
      <c r="F22" s="162">
        <f t="shared" si="0"/>
        <v>4149.6000000000004</v>
      </c>
      <c r="G22" s="157"/>
    </row>
    <row r="23" spans="1:9">
      <c r="A23" s="159" t="s">
        <v>293</v>
      </c>
      <c r="B23" s="163">
        <v>327844</v>
      </c>
      <c r="C23" s="163" t="s">
        <v>294</v>
      </c>
      <c r="D23" s="161">
        <v>48</v>
      </c>
      <c r="E23" s="163">
        <v>144</v>
      </c>
      <c r="F23" s="162">
        <f t="shared" si="0"/>
        <v>6912</v>
      </c>
      <c r="G23" s="157"/>
    </row>
    <row r="24" spans="1:9">
      <c r="A24" s="159" t="s">
        <v>295</v>
      </c>
      <c r="B24" s="163">
        <v>481231</v>
      </c>
      <c r="C24" s="163" t="s">
        <v>296</v>
      </c>
      <c r="D24" s="161">
        <v>219</v>
      </c>
      <c r="E24" s="163">
        <v>360</v>
      </c>
      <c r="F24" s="162">
        <f t="shared" si="0"/>
        <v>78840</v>
      </c>
      <c r="G24" s="157"/>
    </row>
    <row r="25" spans="1:9">
      <c r="A25" s="159" t="s">
        <v>297</v>
      </c>
      <c r="B25" s="163">
        <v>372281</v>
      </c>
      <c r="C25" s="168" t="s">
        <v>298</v>
      </c>
      <c r="D25" s="161">
        <v>8.19</v>
      </c>
      <c r="E25" s="163">
        <v>960</v>
      </c>
      <c r="F25" s="162">
        <f t="shared" si="0"/>
        <v>7862.4</v>
      </c>
      <c r="G25" s="157"/>
    </row>
    <row r="26" spans="1:9">
      <c r="A26" s="159" t="s">
        <v>299</v>
      </c>
      <c r="B26" s="169"/>
      <c r="C26" s="163" t="s">
        <v>275</v>
      </c>
      <c r="D26" s="161">
        <v>60</v>
      </c>
      <c r="E26" s="163">
        <v>10</v>
      </c>
      <c r="F26" s="162">
        <f t="shared" si="0"/>
        <v>600</v>
      </c>
      <c r="G26" s="157"/>
    </row>
    <row r="27" spans="1:9" ht="22.5">
      <c r="A27" s="159" t="s">
        <v>300</v>
      </c>
      <c r="B27" s="163">
        <v>339700</v>
      </c>
      <c r="C27" s="164" t="s">
        <v>275</v>
      </c>
      <c r="D27" s="161">
        <v>24</v>
      </c>
      <c r="E27" s="163">
        <v>240</v>
      </c>
      <c r="F27" s="162">
        <f t="shared" si="0"/>
        <v>5760</v>
      </c>
      <c r="G27" s="157"/>
    </row>
    <row r="28" spans="1:9">
      <c r="A28" s="159" t="s">
        <v>301</v>
      </c>
      <c r="B28" s="163">
        <v>600612</v>
      </c>
      <c r="C28" s="164" t="s">
        <v>302</v>
      </c>
      <c r="D28" s="161">
        <v>26.4</v>
      </c>
      <c r="E28" s="163">
        <v>60</v>
      </c>
      <c r="F28" s="162">
        <f t="shared" si="0"/>
        <v>1584</v>
      </c>
      <c r="G28" s="157"/>
    </row>
    <row r="29" spans="1:9">
      <c r="A29" s="159" t="s">
        <v>303</v>
      </c>
      <c r="B29" s="170">
        <v>470829</v>
      </c>
      <c r="C29" s="169" t="s">
        <v>304</v>
      </c>
      <c r="D29" s="161">
        <v>22</v>
      </c>
      <c r="E29" s="163">
        <v>120</v>
      </c>
      <c r="F29" s="162">
        <f t="shared" si="0"/>
        <v>2640</v>
      </c>
      <c r="G29" s="157"/>
    </row>
    <row r="30" spans="1:9">
      <c r="A30" s="159" t="s">
        <v>305</v>
      </c>
      <c r="B30" s="163">
        <v>470832</v>
      </c>
      <c r="C30" s="169" t="s">
        <v>304</v>
      </c>
      <c r="D30" s="161">
        <v>30.19</v>
      </c>
      <c r="E30" s="163">
        <v>120</v>
      </c>
      <c r="F30" s="162">
        <f t="shared" si="0"/>
        <v>3622.8</v>
      </c>
      <c r="G30" s="157"/>
    </row>
    <row r="31" spans="1:9">
      <c r="A31" s="159" t="s">
        <v>306</v>
      </c>
      <c r="B31" s="163">
        <v>470833</v>
      </c>
      <c r="C31" s="169" t="s">
        <v>304</v>
      </c>
      <c r="D31" s="161">
        <v>67.010000000000005</v>
      </c>
      <c r="E31" s="163">
        <v>240</v>
      </c>
      <c r="F31" s="162">
        <f t="shared" si="0"/>
        <v>16082.400000000001</v>
      </c>
      <c r="G31" s="157"/>
    </row>
    <row r="32" spans="1:9">
      <c r="A32" s="159" t="s">
        <v>307</v>
      </c>
      <c r="B32" s="165">
        <v>458145</v>
      </c>
      <c r="C32" s="169" t="s">
        <v>304</v>
      </c>
      <c r="D32" s="161">
        <v>73.400000000000006</v>
      </c>
      <c r="E32" s="163">
        <v>120</v>
      </c>
      <c r="F32" s="162">
        <f t="shared" si="0"/>
        <v>8808</v>
      </c>
      <c r="G32" s="157"/>
    </row>
    <row r="33" spans="1:7">
      <c r="A33" s="159" t="s">
        <v>308</v>
      </c>
      <c r="B33" s="158">
        <v>314565</v>
      </c>
      <c r="C33" s="163" t="s">
        <v>269</v>
      </c>
      <c r="D33" s="161">
        <v>33.549999999999997</v>
      </c>
      <c r="E33" s="163">
        <v>6</v>
      </c>
      <c r="F33" s="162">
        <f t="shared" si="0"/>
        <v>201.29999999999998</v>
      </c>
      <c r="G33" s="157"/>
    </row>
    <row r="34" spans="1:7" ht="22.5">
      <c r="A34" s="159" t="s">
        <v>309</v>
      </c>
      <c r="B34" s="163">
        <v>481018</v>
      </c>
      <c r="C34" s="169" t="s">
        <v>310</v>
      </c>
      <c r="D34" s="161">
        <v>2.58</v>
      </c>
      <c r="E34" s="163">
        <v>90</v>
      </c>
      <c r="F34" s="162">
        <f t="shared" si="0"/>
        <v>232.20000000000002</v>
      </c>
      <c r="G34" s="157"/>
    </row>
    <row r="35" spans="1:7">
      <c r="A35" s="159" t="s">
        <v>311</v>
      </c>
      <c r="B35" s="163">
        <v>481020</v>
      </c>
      <c r="C35" s="169" t="s">
        <v>312</v>
      </c>
      <c r="D35" s="161">
        <v>5.9</v>
      </c>
      <c r="E35" s="163">
        <v>360</v>
      </c>
      <c r="F35" s="162">
        <f t="shared" si="0"/>
        <v>2124</v>
      </c>
      <c r="G35" s="157"/>
    </row>
    <row r="36" spans="1:7">
      <c r="A36" s="159" t="s">
        <v>313</v>
      </c>
      <c r="B36" s="158">
        <v>378539</v>
      </c>
      <c r="C36" s="163" t="s">
        <v>269</v>
      </c>
      <c r="D36" s="161">
        <v>3.5</v>
      </c>
      <c r="E36" s="163">
        <v>1200</v>
      </c>
      <c r="F36" s="162">
        <f t="shared" ref="F36:F56" si="1">D36*E36</f>
        <v>4200</v>
      </c>
      <c r="G36" s="157"/>
    </row>
    <row r="37" spans="1:7">
      <c r="A37" s="159" t="s">
        <v>314</v>
      </c>
      <c r="B37" s="158">
        <v>216085</v>
      </c>
      <c r="C37" s="163" t="s">
        <v>269</v>
      </c>
      <c r="D37" s="161">
        <v>16.899999999999999</v>
      </c>
      <c r="E37" s="163">
        <v>50</v>
      </c>
      <c r="F37" s="162">
        <f t="shared" si="1"/>
        <v>844.99999999999989</v>
      </c>
      <c r="G37" s="157"/>
    </row>
    <row r="38" spans="1:7" ht="18.600000000000001" hidden="1" customHeight="1">
      <c r="A38" s="159" t="s">
        <v>315</v>
      </c>
      <c r="B38" s="169"/>
      <c r="C38" s="169"/>
      <c r="D38" s="161"/>
      <c r="E38" s="169"/>
      <c r="F38" s="162">
        <f t="shared" si="1"/>
        <v>0</v>
      </c>
    </row>
    <row r="39" spans="1:7">
      <c r="A39" s="159" t="s">
        <v>316</v>
      </c>
      <c r="B39" s="163">
        <v>282921</v>
      </c>
      <c r="C39" s="164" t="s">
        <v>275</v>
      </c>
      <c r="D39" s="161">
        <v>85.38</v>
      </c>
      <c r="E39" s="163">
        <v>12</v>
      </c>
      <c r="F39" s="162">
        <f t="shared" si="1"/>
        <v>1024.56</v>
      </c>
    </row>
    <row r="40" spans="1:7">
      <c r="A40" s="159" t="s">
        <v>317</v>
      </c>
      <c r="B40" s="163">
        <v>260411</v>
      </c>
      <c r="C40" s="164" t="s">
        <v>318</v>
      </c>
      <c r="D40" s="161">
        <v>11.77</v>
      </c>
      <c r="E40" s="163">
        <v>396</v>
      </c>
      <c r="F40" s="162">
        <f t="shared" si="1"/>
        <v>4660.92</v>
      </c>
      <c r="G40" s="157"/>
    </row>
    <row r="41" spans="1:7">
      <c r="A41" s="159" t="s">
        <v>319</v>
      </c>
      <c r="B41" s="158">
        <v>371135</v>
      </c>
      <c r="C41" s="163" t="s">
        <v>269</v>
      </c>
      <c r="D41" s="161">
        <v>53.55</v>
      </c>
      <c r="E41" s="163">
        <v>32</v>
      </c>
      <c r="F41" s="162">
        <f t="shared" si="1"/>
        <v>1713.6</v>
      </c>
      <c r="G41" s="157"/>
    </row>
    <row r="42" spans="1:7">
      <c r="A42" s="159" t="s">
        <v>320</v>
      </c>
      <c r="B42" s="158">
        <v>246663</v>
      </c>
      <c r="C42" s="163" t="s">
        <v>269</v>
      </c>
      <c r="D42" s="161">
        <v>8.9</v>
      </c>
      <c r="E42" s="163">
        <v>32</v>
      </c>
      <c r="F42" s="162">
        <f t="shared" si="1"/>
        <v>284.8</v>
      </c>
    </row>
    <row r="43" spans="1:7">
      <c r="A43" s="159" t="s">
        <v>321</v>
      </c>
      <c r="B43" s="163">
        <v>485479</v>
      </c>
      <c r="C43" s="163" t="s">
        <v>269</v>
      </c>
      <c r="D43" s="161">
        <v>32.799999999999997</v>
      </c>
      <c r="E43" s="163">
        <v>6</v>
      </c>
      <c r="F43" s="162">
        <f t="shared" si="1"/>
        <v>196.79999999999998</v>
      </c>
    </row>
    <row r="44" spans="1:7">
      <c r="A44" s="159" t="s">
        <v>322</v>
      </c>
      <c r="B44" s="163">
        <v>271233</v>
      </c>
      <c r="C44" s="163" t="s">
        <v>269</v>
      </c>
      <c r="D44" s="161">
        <v>29.5</v>
      </c>
      <c r="E44" s="163">
        <v>40</v>
      </c>
      <c r="F44" s="162">
        <f t="shared" si="1"/>
        <v>1180</v>
      </c>
      <c r="G44" s="157"/>
    </row>
    <row r="45" spans="1:7">
      <c r="A45" s="159" t="s">
        <v>323</v>
      </c>
      <c r="B45" s="163">
        <v>449824</v>
      </c>
      <c r="C45" s="163" t="s">
        <v>269</v>
      </c>
      <c r="D45" s="161">
        <v>53.47</v>
      </c>
      <c r="E45" s="163">
        <v>40</v>
      </c>
      <c r="F45" s="162">
        <f t="shared" si="1"/>
        <v>2138.8000000000002</v>
      </c>
      <c r="G45" s="157"/>
    </row>
    <row r="46" spans="1:7">
      <c r="A46" s="159" t="s">
        <v>324</v>
      </c>
      <c r="B46" s="163">
        <v>472872</v>
      </c>
      <c r="C46" s="163" t="s">
        <v>269</v>
      </c>
      <c r="D46" s="161">
        <v>254.67</v>
      </c>
      <c r="E46" s="163">
        <v>5</v>
      </c>
      <c r="F46" s="162">
        <f t="shared" si="1"/>
        <v>1273.3499999999999</v>
      </c>
      <c r="G46" s="157"/>
    </row>
    <row r="47" spans="1:7">
      <c r="A47" s="159" t="s">
        <v>325</v>
      </c>
      <c r="B47" s="163">
        <v>229944</v>
      </c>
      <c r="C47" s="163" t="s">
        <v>269</v>
      </c>
      <c r="D47" s="161">
        <v>34.049999999999997</v>
      </c>
      <c r="E47" s="163">
        <v>10</v>
      </c>
      <c r="F47" s="162">
        <f t="shared" si="1"/>
        <v>340.5</v>
      </c>
      <c r="G47" s="157"/>
    </row>
    <row r="48" spans="1:7">
      <c r="A48" s="159" t="s">
        <v>326</v>
      </c>
      <c r="B48" s="163">
        <v>254833</v>
      </c>
      <c r="C48" s="163" t="s">
        <v>269</v>
      </c>
      <c r="D48" s="161">
        <v>30.49</v>
      </c>
      <c r="E48" s="163">
        <v>10</v>
      </c>
      <c r="F48" s="162">
        <f t="shared" si="1"/>
        <v>304.89999999999998</v>
      </c>
    </row>
    <row r="49" spans="1:7">
      <c r="A49" s="159" t="s">
        <v>327</v>
      </c>
      <c r="B49" s="158">
        <v>601034</v>
      </c>
      <c r="C49" s="164" t="s">
        <v>275</v>
      </c>
      <c r="D49" s="161">
        <v>66.5</v>
      </c>
      <c r="E49" s="163">
        <v>120</v>
      </c>
      <c r="F49" s="162">
        <f t="shared" si="1"/>
        <v>7980</v>
      </c>
      <c r="G49" s="157"/>
    </row>
    <row r="50" spans="1:7">
      <c r="A50" s="159" t="s">
        <v>328</v>
      </c>
      <c r="B50" s="163">
        <v>466615</v>
      </c>
      <c r="C50" s="163" t="s">
        <v>269</v>
      </c>
      <c r="D50" s="161">
        <v>24</v>
      </c>
      <c r="E50" s="163">
        <v>66</v>
      </c>
      <c r="F50" s="162">
        <f t="shared" si="1"/>
        <v>1584</v>
      </c>
      <c r="G50" s="157"/>
    </row>
    <row r="51" spans="1:7" ht="22.5">
      <c r="A51" s="159" t="s">
        <v>329</v>
      </c>
      <c r="B51" s="169"/>
      <c r="C51" s="163" t="s">
        <v>269</v>
      </c>
      <c r="D51" s="161">
        <v>187.83</v>
      </c>
      <c r="E51" s="163">
        <v>3</v>
      </c>
      <c r="F51" s="162">
        <f t="shared" si="1"/>
        <v>563.49</v>
      </c>
    </row>
    <row r="52" spans="1:7">
      <c r="A52" s="159" t="s">
        <v>330</v>
      </c>
      <c r="B52" s="158">
        <v>363532</v>
      </c>
      <c r="C52" s="163" t="s">
        <v>269</v>
      </c>
      <c r="D52" s="161">
        <v>25.4</v>
      </c>
      <c r="E52" s="163">
        <v>20</v>
      </c>
      <c r="F52" s="162">
        <f t="shared" si="1"/>
        <v>508</v>
      </c>
      <c r="G52" s="157"/>
    </row>
    <row r="53" spans="1:7" ht="22.5">
      <c r="A53" s="159" t="s">
        <v>331</v>
      </c>
      <c r="B53" s="163">
        <v>232390</v>
      </c>
      <c r="C53" s="163" t="s">
        <v>269</v>
      </c>
      <c r="D53" s="161">
        <v>7.89</v>
      </c>
      <c r="E53" s="163">
        <v>40</v>
      </c>
      <c r="F53" s="162">
        <f t="shared" si="1"/>
        <v>315.59999999999997</v>
      </c>
      <c r="G53" s="157"/>
    </row>
    <row r="54" spans="1:7">
      <c r="A54" s="159" t="s">
        <v>332</v>
      </c>
      <c r="B54" s="158">
        <v>226137</v>
      </c>
      <c r="C54" s="163" t="s">
        <v>269</v>
      </c>
      <c r="D54" s="161">
        <v>15</v>
      </c>
      <c r="E54" s="163">
        <v>40</v>
      </c>
      <c r="F54" s="162">
        <f t="shared" si="1"/>
        <v>600</v>
      </c>
      <c r="G54" s="157"/>
    </row>
    <row r="55" spans="1:7">
      <c r="A55" s="159" t="s">
        <v>333</v>
      </c>
      <c r="B55" s="158">
        <v>446101</v>
      </c>
      <c r="C55" s="163" t="s">
        <v>269</v>
      </c>
      <c r="D55" s="161">
        <v>11.85</v>
      </c>
      <c r="E55" s="163">
        <v>2</v>
      </c>
      <c r="F55" s="162">
        <f t="shared" si="1"/>
        <v>23.7</v>
      </c>
      <c r="G55" s="157"/>
    </row>
    <row r="56" spans="1:7">
      <c r="A56" s="159" t="s">
        <v>334</v>
      </c>
      <c r="B56" s="158">
        <v>241711</v>
      </c>
      <c r="C56" s="163" t="s">
        <v>269</v>
      </c>
      <c r="D56" s="161">
        <v>16.920000000000002</v>
      </c>
      <c r="E56" s="163">
        <v>2</v>
      </c>
      <c r="F56" s="162">
        <f t="shared" si="1"/>
        <v>33.840000000000003</v>
      </c>
      <c r="G56" s="157"/>
    </row>
    <row r="57" spans="1:7">
      <c r="A57" s="261" t="s">
        <v>335</v>
      </c>
      <c r="B57" s="261"/>
      <c r="C57" s="261"/>
      <c r="D57" s="261"/>
      <c r="E57" s="261"/>
      <c r="F57" s="171">
        <f>SUM(F7:F54)</f>
        <v>268614.37999999989</v>
      </c>
    </row>
    <row r="58" spans="1:7">
      <c r="A58" s="261" t="s">
        <v>336</v>
      </c>
      <c r="B58" s="261"/>
      <c r="C58" s="261"/>
      <c r="D58" s="261"/>
      <c r="E58" s="261"/>
      <c r="F58" s="171">
        <f>F57/12</f>
        <v>22384.531666666659</v>
      </c>
    </row>
    <row r="59" spans="1:7" ht="12.75" customHeight="1">
      <c r="A59" s="262" t="s">
        <v>337</v>
      </c>
      <c r="B59" s="262"/>
      <c r="C59" s="262"/>
      <c r="D59" s="262"/>
      <c r="E59" s="262"/>
      <c r="F59" s="171">
        <f>F58/34</f>
        <v>658.36857843137227</v>
      </c>
    </row>
  </sheetData>
  <mergeCells count="5">
    <mergeCell ref="A1:F1"/>
    <mergeCell ref="A2:F2"/>
    <mergeCell ref="A57:E57"/>
    <mergeCell ref="A58:E58"/>
    <mergeCell ref="A59:E5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Roman,Normal"&amp;12&amp;Kffffff&amp;A</oddHeader>
    <oddFooter>&amp;C&amp;"Times New Roman,Normal"&amp;12&amp;KffffffPágina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4330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M²</vt:lpstr>
      <vt:lpstr>encarregado</vt:lpstr>
      <vt:lpstr>servente </vt:lpstr>
      <vt:lpstr>uniforme</vt:lpstr>
      <vt:lpstr>KIT PRIMEIROS SOCORROS</vt:lpstr>
      <vt:lpstr>Equipamentos</vt:lpstr>
      <vt:lpstr>material2</vt:lpstr>
    </vt:vector>
  </TitlesOfParts>
  <Company>IPHAN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Charles Andre Oliveira Rangel</dc:creator>
  <dc:description/>
  <cp:lastModifiedBy>Frederico Guimarães Cardoso</cp:lastModifiedBy>
  <cp:revision>42</cp:revision>
  <cp:lastPrinted>2024-12-04T11:57:00Z</cp:lastPrinted>
  <dcterms:created xsi:type="dcterms:W3CDTF">2023-01-05T18:59:07Z</dcterms:created>
  <dcterms:modified xsi:type="dcterms:W3CDTF">2025-02-28T17:14:23Z</dcterms:modified>
  <dc:language>pt-BR</dc:language>
</cp:coreProperties>
</file>